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7235" windowHeight="850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Лист1!$A:$C</definedName>
    <definedName name="Организации">[1]Рабочая!$A$1:$A$2</definedName>
  </definedNames>
  <calcPr calcId="125725"/>
</workbook>
</file>

<file path=xl/calcChain.xml><?xml version="1.0" encoding="utf-8"?>
<calcChain xmlns="http://schemas.openxmlformats.org/spreadsheetml/2006/main">
  <c r="BK327" i="1"/>
  <c r="AT327"/>
  <c r="Y327"/>
  <c r="AA327"/>
  <c r="AD327"/>
  <c r="AM327"/>
  <c r="AQ327"/>
  <c r="AS327"/>
  <c r="W327"/>
  <c r="V327"/>
  <c r="W326"/>
  <c r="X326"/>
  <c r="AT95"/>
  <c r="AT278" l="1"/>
  <c r="AV328" l="1"/>
  <c r="AW328"/>
  <c r="AX328"/>
  <c r="AY328"/>
  <c r="AZ328"/>
  <c r="BA328"/>
  <c r="BD328"/>
  <c r="BE328"/>
  <c r="BF328"/>
  <c r="BH328"/>
  <c r="BI9"/>
  <c r="BI10"/>
  <c r="BI11"/>
  <c r="BI12"/>
  <c r="BI13"/>
  <c r="BI14"/>
  <c r="BI15"/>
  <c r="BI18"/>
  <c r="BI19"/>
  <c r="BI20"/>
  <c r="BI21"/>
  <c r="BI22"/>
  <c r="BI23"/>
  <c r="BI24"/>
  <c r="BI25"/>
  <c r="BI26"/>
  <c r="BI28"/>
  <c r="BI30"/>
  <c r="BI31"/>
  <c r="BI33"/>
  <c r="BI36"/>
  <c r="BI37"/>
  <c r="BI41"/>
  <c r="BI42"/>
  <c r="BI43"/>
  <c r="BI45"/>
  <c r="BI46"/>
  <c r="BI47"/>
  <c r="BI48"/>
  <c r="BI53"/>
  <c r="BI54"/>
  <c r="BI55"/>
  <c r="BI57"/>
  <c r="BI59"/>
  <c r="BI60"/>
  <c r="BI61"/>
  <c r="BI62"/>
  <c r="BI63"/>
  <c r="BI64"/>
  <c r="BI65"/>
  <c r="BI66"/>
  <c r="BI67"/>
  <c r="BI68"/>
  <c r="BI69"/>
  <c r="BI70"/>
  <c r="BI71"/>
  <c r="BI72"/>
  <c r="BI73"/>
  <c r="BI76"/>
  <c r="BI77"/>
  <c r="BI78"/>
  <c r="BI80"/>
  <c r="BI81"/>
  <c r="BI82"/>
  <c r="BI83"/>
  <c r="BI84"/>
  <c r="BI85"/>
  <c r="BI87"/>
  <c r="BI88"/>
  <c r="BI89"/>
  <c r="BI90"/>
  <c r="BI92"/>
  <c r="BI93"/>
  <c r="BI94"/>
  <c r="BI96"/>
  <c r="BI98"/>
  <c r="BI101"/>
  <c r="BI102"/>
  <c r="BI103"/>
  <c r="BI104"/>
  <c r="BI105"/>
  <c r="BI106"/>
  <c r="BI109"/>
  <c r="BI112"/>
  <c r="BI116"/>
  <c r="BI117"/>
  <c r="BI118"/>
  <c r="BI119"/>
  <c r="BI120"/>
  <c r="BI122"/>
  <c r="BI123"/>
  <c r="BI124"/>
  <c r="BI125"/>
  <c r="BI129"/>
  <c r="BI130"/>
  <c r="BI132"/>
  <c r="BI133"/>
  <c r="BI134"/>
  <c r="BI135"/>
  <c r="BI136"/>
  <c r="BI204"/>
  <c r="BI205"/>
  <c r="BI207"/>
  <c r="BI208"/>
  <c r="BI210"/>
  <c r="BI211"/>
  <c r="BI212"/>
  <c r="BI213"/>
  <c r="BI214"/>
  <c r="BI215"/>
  <c r="BI216"/>
  <c r="BI217"/>
  <c r="BI218"/>
  <c r="BI219"/>
  <c r="BI220"/>
  <c r="BI222"/>
  <c r="BI224"/>
  <c r="BI225"/>
  <c r="BI226"/>
  <c r="BI227"/>
  <c r="BI233"/>
  <c r="BI234"/>
  <c r="BI235"/>
  <c r="BI247"/>
  <c r="BI248"/>
  <c r="BI250"/>
  <c r="BI251"/>
  <c r="BI252"/>
  <c r="BI253"/>
  <c r="BI254"/>
  <c r="BI255"/>
  <c r="BI256"/>
  <c r="BI257"/>
  <c r="BI259"/>
  <c r="BI260"/>
  <c r="BI261"/>
  <c r="BI263"/>
  <c r="BI265"/>
  <c r="BI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AT144"/>
  <c r="AT145"/>
  <c r="BI145" s="1"/>
  <c r="AT146"/>
  <c r="BI146" s="1"/>
  <c r="AT147"/>
  <c r="AT148"/>
  <c r="AT149"/>
  <c r="AT150"/>
  <c r="AT151"/>
  <c r="AT152"/>
  <c r="AT153"/>
  <c r="AT154"/>
  <c r="AT155"/>
  <c r="AT156"/>
  <c r="AT157"/>
  <c r="AT158"/>
  <c r="AT159"/>
  <c r="AT160"/>
  <c r="AT161"/>
  <c r="AT162"/>
  <c r="AT163"/>
  <c r="AT164"/>
  <c r="AT165"/>
  <c r="AT166"/>
  <c r="AT167"/>
  <c r="AT168"/>
  <c r="AT169"/>
  <c r="AT170"/>
  <c r="AT171"/>
  <c r="AT172"/>
  <c r="AT173"/>
  <c r="AT174"/>
  <c r="AT175"/>
  <c r="AT176"/>
  <c r="AT177"/>
  <c r="BI177" s="1"/>
  <c r="AT178"/>
  <c r="AT179"/>
  <c r="AT180"/>
  <c r="AT181"/>
  <c r="AT182"/>
  <c r="AT183"/>
  <c r="AT184"/>
  <c r="AT185"/>
  <c r="AT186"/>
  <c r="AT187"/>
  <c r="AT188"/>
  <c r="AT189"/>
  <c r="AT190"/>
  <c r="AT191"/>
  <c r="AT192"/>
  <c r="AT193"/>
  <c r="AT194"/>
  <c r="AT195"/>
  <c r="AT196"/>
  <c r="AT198"/>
  <c r="AT199"/>
  <c r="AT200"/>
  <c r="AT201"/>
  <c r="AT202"/>
  <c r="AT203"/>
  <c r="AT204"/>
  <c r="AT205"/>
  <c r="AT206"/>
  <c r="AT207"/>
  <c r="AT208"/>
  <c r="AT209"/>
  <c r="AT210"/>
  <c r="AT211"/>
  <c r="AT212"/>
  <c r="AT213"/>
  <c r="AT214"/>
  <c r="AT215"/>
  <c r="AT216"/>
  <c r="AT217"/>
  <c r="AT218"/>
  <c r="AT219"/>
  <c r="AT220"/>
  <c r="AT221"/>
  <c r="AT222"/>
  <c r="AT223"/>
  <c r="AT224"/>
  <c r="AT225"/>
  <c r="AT226"/>
  <c r="AT227"/>
  <c r="AT228"/>
  <c r="AT229"/>
  <c r="AT230"/>
  <c r="AT231"/>
  <c r="AT232"/>
  <c r="AT233"/>
  <c r="AT234"/>
  <c r="AT235"/>
  <c r="AT236"/>
  <c r="AT237"/>
  <c r="AT238"/>
  <c r="AT239"/>
  <c r="AT240"/>
  <c r="AT241"/>
  <c r="AT242"/>
  <c r="AT243"/>
  <c r="AT244"/>
  <c r="AT245"/>
  <c r="AT246"/>
  <c r="AT247"/>
  <c r="AT248"/>
  <c r="AT249"/>
  <c r="AT250"/>
  <c r="AT251"/>
  <c r="AT252"/>
  <c r="AT253"/>
  <c r="AT254"/>
  <c r="AT255"/>
  <c r="AT256"/>
  <c r="AT257"/>
  <c r="AT258"/>
  <c r="AT259"/>
  <c r="AT260"/>
  <c r="AT261"/>
  <c r="AT262"/>
  <c r="AT263"/>
  <c r="AT264"/>
  <c r="AT265"/>
  <c r="AT266"/>
  <c r="AT267"/>
  <c r="AT268"/>
  <c r="AT269"/>
  <c r="AT270"/>
  <c r="AT271"/>
  <c r="AT272"/>
  <c r="AT273"/>
  <c r="AT274"/>
  <c r="AT275"/>
  <c r="AT276"/>
  <c r="AT277"/>
  <c r="AT279"/>
  <c r="AT280"/>
  <c r="BI280" s="1"/>
  <c r="AT281"/>
  <c r="AT282"/>
  <c r="AT283"/>
  <c r="AT284"/>
  <c r="AT285"/>
  <c r="AT286"/>
  <c r="AT287"/>
  <c r="AT288"/>
  <c r="AT289"/>
  <c r="AT290"/>
  <c r="AT291"/>
  <c r="AT292"/>
  <c r="AT293"/>
  <c r="AT294"/>
  <c r="AT295"/>
  <c r="AT296"/>
  <c r="AT297"/>
  <c r="AT298"/>
  <c r="AT299"/>
  <c r="AT300"/>
  <c r="AT301"/>
  <c r="AT302"/>
  <c r="AT303"/>
  <c r="AT304"/>
  <c r="AT305"/>
  <c r="AT306"/>
  <c r="AT307"/>
  <c r="AT308"/>
  <c r="AT309"/>
  <c r="AT310"/>
  <c r="AT311"/>
  <c r="AT312"/>
  <c r="AT313"/>
  <c r="AT314"/>
  <c r="AT315"/>
  <c r="AT316"/>
  <c r="AT317"/>
  <c r="AT318"/>
  <c r="AT319"/>
  <c r="AT320"/>
  <c r="AT321"/>
  <c r="AT322"/>
  <c r="AT323"/>
  <c r="AT324"/>
  <c r="AT325"/>
  <c r="AT326"/>
  <c r="AT8"/>
  <c r="BK328"/>
  <c r="BK224"/>
  <c r="BK218"/>
  <c r="BK180"/>
  <c r="BK133"/>
  <c r="AT328" l="1"/>
  <c r="BK10" l="1"/>
  <c r="BK7" s="1"/>
  <c r="BK26"/>
  <c r="AV7"/>
  <c r="AW7"/>
  <c r="AX7"/>
  <c r="AY7"/>
  <c r="AZ7"/>
  <c r="BA7"/>
  <c r="BD7"/>
  <c r="BE7"/>
  <c r="BF7"/>
  <c r="BH7"/>
  <c r="AT7"/>
  <c r="AV335"/>
  <c r="AV334"/>
  <c r="AV333"/>
  <c r="AV336" s="1"/>
  <c r="AH332"/>
  <c r="AS330"/>
  <c r="AR330"/>
  <c r="AR331" s="1"/>
  <c r="BL329"/>
  <c r="AR328"/>
  <c r="AP328"/>
  <c r="AN328"/>
  <c r="AL328"/>
  <c r="AK328"/>
  <c r="AI328"/>
  <c r="AH328"/>
  <c r="AG328"/>
  <c r="AE328"/>
  <c r="V328"/>
  <c r="R327"/>
  <c r="S327" s="1"/>
  <c r="AF327" s="1"/>
  <c r="Q327"/>
  <c r="R326"/>
  <c r="Q326"/>
  <c r="R325"/>
  <c r="X325" s="1"/>
  <c r="Z325" s="1"/>
  <c r="Q325"/>
  <c r="R324"/>
  <c r="Q324"/>
  <c r="R323"/>
  <c r="S323" s="1"/>
  <c r="Y323" s="1"/>
  <c r="AA323" s="1"/>
  <c r="AD323" s="1"/>
  <c r="Q323"/>
  <c r="R322"/>
  <c r="Q322"/>
  <c r="W321"/>
  <c r="R321"/>
  <c r="S321" s="1"/>
  <c r="Y321" s="1"/>
  <c r="AA321" s="1"/>
  <c r="AD321" s="1"/>
  <c r="AM321" s="1"/>
  <c r="Q321"/>
  <c r="T321" s="1"/>
  <c r="AS320"/>
  <c r="AS319"/>
  <c r="S318"/>
  <c r="Y318" s="1"/>
  <c r="AA318" s="1"/>
  <c r="AD318" s="1"/>
  <c r="AM318" s="1"/>
  <c r="R318"/>
  <c r="X318" s="1"/>
  <c r="Z318" s="1"/>
  <c r="Q318"/>
  <c r="T318" s="1"/>
  <c r="R317"/>
  <c r="Q317"/>
  <c r="R316"/>
  <c r="S316" s="1"/>
  <c r="Y316" s="1"/>
  <c r="AA316" s="1"/>
  <c r="AD316" s="1"/>
  <c r="Q316"/>
  <c r="R315"/>
  <c r="Q315"/>
  <c r="R314"/>
  <c r="X314" s="1"/>
  <c r="Z314" s="1"/>
  <c r="Q314"/>
  <c r="R313"/>
  <c r="Q313"/>
  <c r="AB312"/>
  <c r="R312"/>
  <c r="Q312"/>
  <c r="R311"/>
  <c r="X311" s="1"/>
  <c r="Z311" s="1"/>
  <c r="Q311"/>
  <c r="R310"/>
  <c r="Q310"/>
  <c r="BB309"/>
  <c r="AM309"/>
  <c r="BC309" s="1"/>
  <c r="R309"/>
  <c r="Q309"/>
  <c r="BB308"/>
  <c r="AM308"/>
  <c r="BC308" s="1"/>
  <c r="R308"/>
  <c r="Q308"/>
  <c r="BB307"/>
  <c r="AQ307"/>
  <c r="AS307" s="1"/>
  <c r="AM307"/>
  <c r="BC307" s="1"/>
  <c r="R307"/>
  <c r="Q307"/>
  <c r="BG306"/>
  <c r="AS306"/>
  <c r="R306"/>
  <c r="Q306"/>
  <c r="BG305"/>
  <c r="AS305"/>
  <c r="AJ305"/>
  <c r="AY305" s="1"/>
  <c r="BB305" s="1"/>
  <c r="AD305"/>
  <c r="R305"/>
  <c r="S305" s="1"/>
  <c r="Y305" s="1"/>
  <c r="AA305" s="1"/>
  <c r="Q305"/>
  <c r="AY304"/>
  <c r="R304"/>
  <c r="S304" s="1"/>
  <c r="Y304" s="1"/>
  <c r="AA304" s="1"/>
  <c r="AD304" s="1"/>
  <c r="Q304"/>
  <c r="R303"/>
  <c r="Q303"/>
  <c r="R302"/>
  <c r="X302" s="1"/>
  <c r="Z302" s="1"/>
  <c r="Q302"/>
  <c r="W301"/>
  <c r="R301"/>
  <c r="X301" s="1"/>
  <c r="Z301" s="1"/>
  <c r="Q301"/>
  <c r="R300"/>
  <c r="Q300"/>
  <c r="W299"/>
  <c r="R299"/>
  <c r="S299" s="1"/>
  <c r="Y299" s="1"/>
  <c r="AA299" s="1"/>
  <c r="AD299" s="1"/>
  <c r="AM299" s="1"/>
  <c r="Q299"/>
  <c r="AB298"/>
  <c r="R298"/>
  <c r="Q298"/>
  <c r="R297"/>
  <c r="X297" s="1"/>
  <c r="Z297" s="1"/>
  <c r="Q297"/>
  <c r="AS296"/>
  <c r="R295"/>
  <c r="X295" s="1"/>
  <c r="Z295" s="1"/>
  <c r="Q295"/>
  <c r="R294"/>
  <c r="X294" s="1"/>
  <c r="Z294" s="1"/>
  <c r="Q294"/>
  <c r="AB293"/>
  <c r="R293"/>
  <c r="X293" s="1"/>
  <c r="Z293" s="1"/>
  <c r="Q293"/>
  <c r="R292"/>
  <c r="X292" s="1"/>
  <c r="Z292" s="1"/>
  <c r="Q292"/>
  <c r="R291"/>
  <c r="X291" s="1"/>
  <c r="Z291" s="1"/>
  <c r="Q291"/>
  <c r="R290"/>
  <c r="X290" s="1"/>
  <c r="Z290" s="1"/>
  <c r="Q290"/>
  <c r="R289"/>
  <c r="X289" s="1"/>
  <c r="Z289" s="1"/>
  <c r="Q289"/>
  <c r="R288"/>
  <c r="X288" s="1"/>
  <c r="Z288" s="1"/>
  <c r="Q288"/>
  <c r="S287"/>
  <c r="Y287" s="1"/>
  <c r="AA287" s="1"/>
  <c r="AD287" s="1"/>
  <c r="R287"/>
  <c r="X287" s="1"/>
  <c r="Z287" s="1"/>
  <c r="Q287"/>
  <c r="T287" s="1"/>
  <c r="R286"/>
  <c r="Q286"/>
  <c r="R285"/>
  <c r="X285" s="1"/>
  <c r="Z285" s="1"/>
  <c r="Q285"/>
  <c r="R284"/>
  <c r="Q284"/>
  <c r="R283"/>
  <c r="X283" s="1"/>
  <c r="Z283" s="1"/>
  <c r="Q283"/>
  <c r="R282"/>
  <c r="Q282"/>
  <c r="R281"/>
  <c r="X281" s="1"/>
  <c r="Z281" s="1"/>
  <c r="Q281"/>
  <c r="R280"/>
  <c r="Q280"/>
  <c r="AS279"/>
  <c r="R279"/>
  <c r="R278"/>
  <c r="X278" s="1"/>
  <c r="Z278" s="1"/>
  <c r="Q278"/>
  <c r="R277"/>
  <c r="X277" s="1"/>
  <c r="Z277" s="1"/>
  <c r="Q277"/>
  <c r="R276"/>
  <c r="X276" s="1"/>
  <c r="Z276" s="1"/>
  <c r="Q276"/>
  <c r="S275"/>
  <c r="Y275" s="1"/>
  <c r="AA275" s="1"/>
  <c r="AD275" s="1"/>
  <c r="R275"/>
  <c r="X275" s="1"/>
  <c r="Z275" s="1"/>
  <c r="Q275"/>
  <c r="T275" s="1"/>
  <c r="R274"/>
  <c r="X274" s="1"/>
  <c r="Z274" s="1"/>
  <c r="Q274"/>
  <c r="R273"/>
  <c r="X273" s="1"/>
  <c r="Z273" s="1"/>
  <c r="Q273"/>
  <c r="R272"/>
  <c r="X272" s="1"/>
  <c r="Z272" s="1"/>
  <c r="Q272"/>
  <c r="AS271"/>
  <c r="R270"/>
  <c r="X270" s="1"/>
  <c r="Z270" s="1"/>
  <c r="Q270"/>
  <c r="AB269"/>
  <c r="S269"/>
  <c r="Y269" s="1"/>
  <c r="AA269" s="1"/>
  <c r="AD269" s="1"/>
  <c r="R269"/>
  <c r="X269" s="1"/>
  <c r="Z269" s="1"/>
  <c r="Q269"/>
  <c r="T269" s="1"/>
  <c r="AS268"/>
  <c r="R267"/>
  <c r="X267" s="1"/>
  <c r="Z267" s="1"/>
  <c r="Q267"/>
  <c r="AS266"/>
  <c r="R265"/>
  <c r="X265" s="1"/>
  <c r="Z265" s="1"/>
  <c r="Q265"/>
  <c r="AS264"/>
  <c r="R263"/>
  <c r="X263" s="1"/>
  <c r="Z263" s="1"/>
  <c r="Q263"/>
  <c r="AS262"/>
  <c r="R261"/>
  <c r="X261" s="1"/>
  <c r="Z261" s="1"/>
  <c r="Q261"/>
  <c r="R260"/>
  <c r="X260" s="1"/>
  <c r="Z260" s="1"/>
  <c r="Q260"/>
  <c r="AB259"/>
  <c r="R259"/>
  <c r="X259" s="1"/>
  <c r="Z259" s="1"/>
  <c r="Q259"/>
  <c r="AS258"/>
  <c r="R257"/>
  <c r="X257" s="1"/>
  <c r="Z257" s="1"/>
  <c r="Q257"/>
  <c r="R256"/>
  <c r="X256" s="1"/>
  <c r="Z256" s="1"/>
  <c r="Q256"/>
  <c r="AB255"/>
  <c r="R255"/>
  <c r="X255" s="1"/>
  <c r="Z255" s="1"/>
  <c r="Q255"/>
  <c r="R254"/>
  <c r="X254" s="1"/>
  <c r="Z254" s="1"/>
  <c r="Q254"/>
  <c r="R253"/>
  <c r="X253" s="1"/>
  <c r="Z253" s="1"/>
  <c r="Q253"/>
  <c r="R252"/>
  <c r="X252" s="1"/>
  <c r="Z252" s="1"/>
  <c r="Q252"/>
  <c r="R251"/>
  <c r="X251" s="1"/>
  <c r="Z251" s="1"/>
  <c r="Q251"/>
  <c r="R250"/>
  <c r="X250" s="1"/>
  <c r="Z250" s="1"/>
  <c r="Q250"/>
  <c r="BJ249"/>
  <c r="AS249"/>
  <c r="BI249" s="1"/>
  <c r="R248"/>
  <c r="X248" s="1"/>
  <c r="Z248" s="1"/>
  <c r="Q248"/>
  <c r="AB247"/>
  <c r="R247"/>
  <c r="X247" s="1"/>
  <c r="Z247" s="1"/>
  <c r="Q247"/>
  <c r="AS246"/>
  <c r="AS245"/>
  <c r="AS244"/>
  <c r="R243"/>
  <c r="X243" s="1"/>
  <c r="Z243" s="1"/>
  <c r="Q243"/>
  <c r="AS242"/>
  <c r="R241"/>
  <c r="X241" s="1"/>
  <c r="Z241" s="1"/>
  <c r="Q241"/>
  <c r="AS240"/>
  <c r="R239"/>
  <c r="X239" s="1"/>
  <c r="Z239" s="1"/>
  <c r="Q239"/>
  <c r="AS238"/>
  <c r="AS237"/>
  <c r="R237"/>
  <c r="X237" s="1"/>
  <c r="Z237" s="1"/>
  <c r="AS236"/>
  <c r="R235"/>
  <c r="X235" s="1"/>
  <c r="Z235" s="1"/>
  <c r="Q235"/>
  <c r="R234"/>
  <c r="X234" s="1"/>
  <c r="Z234" s="1"/>
  <c r="Q234"/>
  <c r="AB233"/>
  <c r="R233"/>
  <c r="X233" s="1"/>
  <c r="Z233" s="1"/>
  <c r="Q233"/>
  <c r="AS232"/>
  <c r="R232"/>
  <c r="R231"/>
  <c r="X231" s="1"/>
  <c r="Z231" s="1"/>
  <c r="Q231"/>
  <c r="R230"/>
  <c r="X230" s="1"/>
  <c r="Z230" s="1"/>
  <c r="Q230"/>
  <c r="AS229"/>
  <c r="AS228"/>
  <c r="BI228" s="1"/>
  <c r="R227"/>
  <c r="X227" s="1"/>
  <c r="Z227" s="1"/>
  <c r="Q227"/>
  <c r="R226"/>
  <c r="X226" s="1"/>
  <c r="Z226" s="1"/>
  <c r="Q226"/>
  <c r="AC225"/>
  <c r="R225"/>
  <c r="X225" s="1"/>
  <c r="Z225" s="1"/>
  <c r="Q225"/>
  <c r="BE224"/>
  <c r="R224"/>
  <c r="X224" s="1"/>
  <c r="Z224" s="1"/>
  <c r="Q224"/>
  <c r="AS223"/>
  <c r="R222"/>
  <c r="X222" s="1"/>
  <c r="Z222" s="1"/>
  <c r="Q222"/>
  <c r="W221"/>
  <c r="R221"/>
  <c r="S221" s="1"/>
  <c r="Q221"/>
  <c r="R220"/>
  <c r="X220" s="1"/>
  <c r="Z220" s="1"/>
  <c r="Q220"/>
  <c r="R219"/>
  <c r="X219" s="1"/>
  <c r="Z219" s="1"/>
  <c r="Q219"/>
  <c r="R218"/>
  <c r="X218" s="1"/>
  <c r="Z218" s="1"/>
  <c r="Q218"/>
  <c r="R217"/>
  <c r="X217" s="1"/>
  <c r="Z217" s="1"/>
  <c r="Q217"/>
  <c r="R216"/>
  <c r="X216" s="1"/>
  <c r="Z216" s="1"/>
  <c r="Q216"/>
  <c r="R215"/>
  <c r="X215" s="1"/>
  <c r="Z215" s="1"/>
  <c r="Q215"/>
  <c r="R214"/>
  <c r="X214" s="1"/>
  <c r="Z214" s="1"/>
  <c r="Q214"/>
  <c r="R213"/>
  <c r="Q213"/>
  <c r="AJ212"/>
  <c r="AY212" s="1"/>
  <c r="R212"/>
  <c r="X212" s="1"/>
  <c r="Z212" s="1"/>
  <c r="Q212"/>
  <c r="AY211"/>
  <c r="R211"/>
  <c r="X211" s="1"/>
  <c r="Z211" s="1"/>
  <c r="Q211"/>
  <c r="R210"/>
  <c r="Q210"/>
  <c r="R209"/>
  <c r="X209" s="1"/>
  <c r="Z209" s="1"/>
  <c r="Q209"/>
  <c r="R208"/>
  <c r="Q208"/>
  <c r="R207"/>
  <c r="X207" s="1"/>
  <c r="Z207" s="1"/>
  <c r="Q207"/>
  <c r="AS206"/>
  <c r="R205"/>
  <c r="Q205"/>
  <c r="R204"/>
  <c r="X204" s="1"/>
  <c r="Z204" s="1"/>
  <c r="Q204"/>
  <c r="AS203"/>
  <c r="R202"/>
  <c r="X202" s="1"/>
  <c r="Z202" s="1"/>
  <c r="Q202"/>
  <c r="AS201"/>
  <c r="R201"/>
  <c r="X201" s="1"/>
  <c r="Z201" s="1"/>
  <c r="R200"/>
  <c r="X200" s="1"/>
  <c r="Z200" s="1"/>
  <c r="Q200"/>
  <c r="AB199"/>
  <c r="R199"/>
  <c r="X199" s="1"/>
  <c r="Z199" s="1"/>
  <c r="Q199"/>
  <c r="AS198"/>
  <c r="R196"/>
  <c r="X196" s="1"/>
  <c r="Z196" s="1"/>
  <c r="Q196"/>
  <c r="AC195"/>
  <c r="R195"/>
  <c r="X195" s="1"/>
  <c r="Z195" s="1"/>
  <c r="Q195"/>
  <c r="AS194"/>
  <c r="AS193"/>
  <c r="R192"/>
  <c r="X192" s="1"/>
  <c r="Z192" s="1"/>
  <c r="Q192"/>
  <c r="AB191"/>
  <c r="R191"/>
  <c r="X191" s="1"/>
  <c r="Z191" s="1"/>
  <c r="Q191"/>
  <c r="AS190"/>
  <c r="R189"/>
  <c r="X189" s="1"/>
  <c r="Z189" s="1"/>
  <c r="Q189"/>
  <c r="AS188"/>
  <c r="R187"/>
  <c r="X187" s="1"/>
  <c r="Z187" s="1"/>
  <c r="Q187"/>
  <c r="R186"/>
  <c r="X186" s="1"/>
  <c r="Z186" s="1"/>
  <c r="Q186"/>
  <c r="AS185"/>
  <c r="R184"/>
  <c r="X184" s="1"/>
  <c r="Z184" s="1"/>
  <c r="Q184"/>
  <c r="R183"/>
  <c r="X183" s="1"/>
  <c r="Z183" s="1"/>
  <c r="Q183"/>
  <c r="AB182"/>
  <c r="R182"/>
  <c r="X182" s="1"/>
  <c r="Z182" s="1"/>
  <c r="Q182"/>
  <c r="R181"/>
  <c r="X181" s="1"/>
  <c r="Z181" s="1"/>
  <c r="Q181"/>
  <c r="R180"/>
  <c r="X180" s="1"/>
  <c r="Z180" s="1"/>
  <c r="Q180"/>
  <c r="R179"/>
  <c r="X179" s="1"/>
  <c r="Z179" s="1"/>
  <c r="Q179"/>
  <c r="R178"/>
  <c r="X178" s="1"/>
  <c r="Z178" s="1"/>
  <c r="Q178"/>
  <c r="R177"/>
  <c r="X177" s="1"/>
  <c r="Z177" s="1"/>
  <c r="Q177"/>
  <c r="R176"/>
  <c r="X176" s="1"/>
  <c r="Z176" s="1"/>
  <c r="Q176"/>
  <c r="Q175"/>
  <c r="J175"/>
  <c r="J328" s="1"/>
  <c r="AS174"/>
  <c r="R173"/>
  <c r="S173" s="1"/>
  <c r="Y173" s="1"/>
  <c r="AA173" s="1"/>
  <c r="AD173" s="1"/>
  <c r="Q173"/>
  <c r="R172"/>
  <c r="X172" s="1"/>
  <c r="Z172" s="1"/>
  <c r="Q172"/>
  <c r="R171"/>
  <c r="S171" s="1"/>
  <c r="Y171" s="1"/>
  <c r="AA171" s="1"/>
  <c r="AD171" s="1"/>
  <c r="Q171"/>
  <c r="BJ170"/>
  <c r="AS170"/>
  <c r="BI170" s="1"/>
  <c r="BJ169"/>
  <c r="AS169"/>
  <c r="BI169" s="1"/>
  <c r="R169"/>
  <c r="Q169"/>
  <c r="R168"/>
  <c r="X168" s="1"/>
  <c r="Z168" s="1"/>
  <c r="Q168"/>
  <c r="S167"/>
  <c r="Y167" s="1"/>
  <c r="AA167" s="1"/>
  <c r="AD167" s="1"/>
  <c r="R167"/>
  <c r="X167" s="1"/>
  <c r="Z167" s="1"/>
  <c r="Q167"/>
  <c r="T167" s="1"/>
  <c r="R166"/>
  <c r="X166" s="1"/>
  <c r="Z166" s="1"/>
  <c r="Q166"/>
  <c r="AS165"/>
  <c r="Z165"/>
  <c r="R165"/>
  <c r="AS164"/>
  <c r="AS163"/>
  <c r="R162"/>
  <c r="X162" s="1"/>
  <c r="Z162" s="1"/>
  <c r="Q162"/>
  <c r="AB161"/>
  <c r="R161"/>
  <c r="X161" s="1"/>
  <c r="Z161" s="1"/>
  <c r="Q161"/>
  <c r="AS160"/>
  <c r="R159"/>
  <c r="X159" s="1"/>
  <c r="Z159" s="1"/>
  <c r="Q159"/>
  <c r="AB158"/>
  <c r="R158"/>
  <c r="X158" s="1"/>
  <c r="Z158" s="1"/>
  <c r="Q158"/>
  <c r="R157"/>
  <c r="X157" s="1"/>
  <c r="Z157" s="1"/>
  <c r="Q157"/>
  <c r="AS156"/>
  <c r="BI156" s="1"/>
  <c r="R155"/>
  <c r="X155" s="1"/>
  <c r="Z155" s="1"/>
  <c r="Q155"/>
  <c r="R154"/>
  <c r="X154" s="1"/>
  <c r="Z154" s="1"/>
  <c r="Q154"/>
  <c r="AS153"/>
  <c r="BI153" s="1"/>
  <c r="AS152"/>
  <c r="BI152" s="1"/>
  <c r="AY151"/>
  <c r="AJ151"/>
  <c r="AJ328" s="1"/>
  <c r="R151"/>
  <c r="X151" s="1"/>
  <c r="Z151" s="1"/>
  <c r="Q151"/>
  <c r="AY150"/>
  <c r="R150"/>
  <c r="X150" s="1"/>
  <c r="Z150" s="1"/>
  <c r="Q150"/>
  <c r="R149"/>
  <c r="S149" s="1"/>
  <c r="Y149" s="1"/>
  <c r="AA149" s="1"/>
  <c r="AD149" s="1"/>
  <c r="Q149"/>
  <c r="AB148"/>
  <c r="S148"/>
  <c r="Y148" s="1"/>
  <c r="AA148" s="1"/>
  <c r="AD148" s="1"/>
  <c r="R148"/>
  <c r="X148" s="1"/>
  <c r="Z148" s="1"/>
  <c r="Q148"/>
  <c r="T148" s="1"/>
  <c r="R147"/>
  <c r="X147" s="1"/>
  <c r="Z147" s="1"/>
  <c r="Q147"/>
  <c r="R146"/>
  <c r="X146" s="1"/>
  <c r="Z146" s="1"/>
  <c r="Q146"/>
  <c r="AC145"/>
  <c r="R145"/>
  <c r="S145" s="1"/>
  <c r="Y145" s="1"/>
  <c r="AA145" s="1"/>
  <c r="Q145"/>
  <c r="AS144"/>
  <c r="R143"/>
  <c r="X143" s="1"/>
  <c r="Z143" s="1"/>
  <c r="Q143"/>
  <c r="R142"/>
  <c r="S142" s="1"/>
  <c r="Y142" s="1"/>
  <c r="AA142" s="1"/>
  <c r="AD142" s="1"/>
  <c r="Q142"/>
  <c r="AB141"/>
  <c r="S141"/>
  <c r="Y141" s="1"/>
  <c r="AA141" s="1"/>
  <c r="AD141" s="1"/>
  <c r="R141"/>
  <c r="X141" s="1"/>
  <c r="Z141" s="1"/>
  <c r="Q141"/>
  <c r="T141" s="1"/>
  <c r="R140"/>
  <c r="X140" s="1"/>
  <c r="Z140" s="1"/>
  <c r="Q140"/>
  <c r="R139"/>
  <c r="X139" s="1"/>
  <c r="Z139" s="1"/>
  <c r="Q139"/>
  <c r="R138"/>
  <c r="X138" s="1"/>
  <c r="Z138" s="1"/>
  <c r="Q138"/>
  <c r="W137"/>
  <c r="R137"/>
  <c r="X137" s="1"/>
  <c r="Z137" s="1"/>
  <c r="Q137"/>
  <c r="R136"/>
  <c r="S136" s="1"/>
  <c r="Y136" s="1"/>
  <c r="AA136" s="1"/>
  <c r="AD136" s="1"/>
  <c r="Q136"/>
  <c r="R135"/>
  <c r="X135" s="1"/>
  <c r="Z135" s="1"/>
  <c r="Q135"/>
  <c r="AB134"/>
  <c r="R134"/>
  <c r="X134" s="1"/>
  <c r="Z134" s="1"/>
  <c r="Q134"/>
  <c r="S133"/>
  <c r="Y133" s="1"/>
  <c r="AA133" s="1"/>
  <c r="AD133" s="1"/>
  <c r="R133"/>
  <c r="X133" s="1"/>
  <c r="Z133" s="1"/>
  <c r="Q133"/>
  <c r="T133" s="1"/>
  <c r="AQ132"/>
  <c r="AS132" s="1"/>
  <c r="BJ132" s="1"/>
  <c r="R132"/>
  <c r="S132" s="1"/>
  <c r="Y132" s="1"/>
  <c r="AA132" s="1"/>
  <c r="AD132" s="1"/>
  <c r="Q132"/>
  <c r="R131"/>
  <c r="Q131"/>
  <c r="S130"/>
  <c r="Y130" s="1"/>
  <c r="AA130" s="1"/>
  <c r="AD130" s="1"/>
  <c r="R130"/>
  <c r="X130" s="1"/>
  <c r="Z130" s="1"/>
  <c r="Q130"/>
  <c r="T130" s="1"/>
  <c r="R129"/>
  <c r="Q129"/>
  <c r="AS128"/>
  <c r="AS127"/>
  <c r="AS126"/>
  <c r="R125"/>
  <c r="S125" s="1"/>
  <c r="Y125" s="1"/>
  <c r="AA125" s="1"/>
  <c r="AD125" s="1"/>
  <c r="Q125"/>
  <c r="R124"/>
  <c r="X124" s="1"/>
  <c r="Z124" s="1"/>
  <c r="Q124"/>
  <c r="R123"/>
  <c r="S123" s="1"/>
  <c r="Y123" s="1"/>
  <c r="AA123" s="1"/>
  <c r="AD123" s="1"/>
  <c r="Q123"/>
  <c r="R122"/>
  <c r="X122" s="1"/>
  <c r="Z122" s="1"/>
  <c r="Q122"/>
  <c r="W121"/>
  <c r="R121"/>
  <c r="S121" s="1"/>
  <c r="Q121"/>
  <c r="R120"/>
  <c r="X120" s="1"/>
  <c r="Z120" s="1"/>
  <c r="Q120"/>
  <c r="AC119"/>
  <c r="AC328" s="1"/>
  <c r="R119"/>
  <c r="S119" s="1"/>
  <c r="Y119" s="1"/>
  <c r="AA119" s="1"/>
  <c r="Q119"/>
  <c r="R118"/>
  <c r="X118" s="1"/>
  <c r="Z118" s="1"/>
  <c r="Q118"/>
  <c r="R117"/>
  <c r="S117" s="1"/>
  <c r="Y117" s="1"/>
  <c r="AA117" s="1"/>
  <c r="AD117" s="1"/>
  <c r="Q117"/>
  <c r="R116"/>
  <c r="X116" s="1"/>
  <c r="Z116" s="1"/>
  <c r="Q116"/>
  <c r="R115"/>
  <c r="S115" s="1"/>
  <c r="Y115" s="1"/>
  <c r="AA115" s="1"/>
  <c r="AD115" s="1"/>
  <c r="Q115"/>
  <c r="AS114"/>
  <c r="R113"/>
  <c r="X113" s="1"/>
  <c r="Z113" s="1"/>
  <c r="Q113"/>
  <c r="R112"/>
  <c r="S112" s="1"/>
  <c r="Y112" s="1"/>
  <c r="AA112" s="1"/>
  <c r="AD112" s="1"/>
  <c r="Q112"/>
  <c r="R111"/>
  <c r="X111" s="1"/>
  <c r="Z111" s="1"/>
  <c r="Q111"/>
  <c r="AS110"/>
  <c r="R109"/>
  <c r="X109" s="1"/>
  <c r="Z109" s="1"/>
  <c r="Q109"/>
  <c r="AS108"/>
  <c r="R107"/>
  <c r="X107" s="1"/>
  <c r="Z107" s="1"/>
  <c r="Q107"/>
  <c r="S106"/>
  <c r="Y106" s="1"/>
  <c r="AA106" s="1"/>
  <c r="AD106" s="1"/>
  <c r="R106"/>
  <c r="X106" s="1"/>
  <c r="Z106" s="1"/>
  <c r="Q106"/>
  <c r="T106" s="1"/>
  <c r="R105"/>
  <c r="X105" s="1"/>
  <c r="Z105" s="1"/>
  <c r="Q105"/>
  <c r="R104"/>
  <c r="X104" s="1"/>
  <c r="Z104" s="1"/>
  <c r="Q104"/>
  <c r="R103"/>
  <c r="X103" s="1"/>
  <c r="Z103" s="1"/>
  <c r="Q103"/>
  <c r="S102"/>
  <c r="Y102" s="1"/>
  <c r="AA102" s="1"/>
  <c r="AD102" s="1"/>
  <c r="R102"/>
  <c r="X102" s="1"/>
  <c r="Z102" s="1"/>
  <c r="Q102"/>
  <c r="T102" s="1"/>
  <c r="R101"/>
  <c r="X101" s="1"/>
  <c r="Z101" s="1"/>
  <c r="Q101"/>
  <c r="AS100"/>
  <c r="AS99"/>
  <c r="R99"/>
  <c r="X99" s="1"/>
  <c r="Z99" s="1"/>
  <c r="R98"/>
  <c r="X98" s="1"/>
  <c r="Z98" s="1"/>
  <c r="Q98"/>
  <c r="AS97"/>
  <c r="R97"/>
  <c r="X97" s="1"/>
  <c r="Z97" s="1"/>
  <c r="R96"/>
  <c r="X96" s="1"/>
  <c r="Z96" s="1"/>
  <c r="Q96"/>
  <c r="AS95"/>
  <c r="R95"/>
  <c r="X95" s="1"/>
  <c r="Z95" s="1"/>
  <c r="R94"/>
  <c r="X94" s="1"/>
  <c r="Z94" s="1"/>
  <c r="Q94"/>
  <c r="R93"/>
  <c r="X93" s="1"/>
  <c r="Z93" s="1"/>
  <c r="Q93"/>
  <c r="AB92"/>
  <c r="R92"/>
  <c r="S92" s="1"/>
  <c r="Y92" s="1"/>
  <c r="AA92" s="1"/>
  <c r="Q92"/>
  <c r="AS91"/>
  <c r="R90"/>
  <c r="X90" s="1"/>
  <c r="Z90" s="1"/>
  <c r="Q90"/>
  <c r="AO89"/>
  <c r="AO328" s="1"/>
  <c r="R89"/>
  <c r="X89" s="1"/>
  <c r="Z89" s="1"/>
  <c r="Q89"/>
  <c r="BE88"/>
  <c r="R88"/>
  <c r="S88" s="1"/>
  <c r="Y88" s="1"/>
  <c r="AA88" s="1"/>
  <c r="AD88" s="1"/>
  <c r="Q88"/>
  <c r="R87"/>
  <c r="X87" s="1"/>
  <c r="Z87" s="1"/>
  <c r="Q87"/>
  <c r="AS86"/>
  <c r="R85"/>
  <c r="X85" s="1"/>
  <c r="Z85" s="1"/>
  <c r="Q85"/>
  <c r="R84"/>
  <c r="X84" s="1"/>
  <c r="Z84" s="1"/>
  <c r="Q84"/>
  <c r="AB83"/>
  <c r="R83"/>
  <c r="X83" s="1"/>
  <c r="Z83" s="1"/>
  <c r="Q83"/>
  <c r="R82"/>
  <c r="S82" s="1"/>
  <c r="Y82" s="1"/>
  <c r="AA82" s="1"/>
  <c r="AD82" s="1"/>
  <c r="Q82"/>
  <c r="AB81"/>
  <c r="R81"/>
  <c r="X81" s="1"/>
  <c r="Z81" s="1"/>
  <c r="Q81"/>
  <c r="R80"/>
  <c r="X80" s="1"/>
  <c r="Z80" s="1"/>
  <c r="Q80"/>
  <c r="S79"/>
  <c r="Y79" s="1"/>
  <c r="AA79" s="1"/>
  <c r="AD79" s="1"/>
  <c r="R79"/>
  <c r="X79" s="1"/>
  <c r="Z79" s="1"/>
  <c r="Q79"/>
  <c r="T79" s="1"/>
  <c r="R78"/>
  <c r="X78" s="1"/>
  <c r="Z78" s="1"/>
  <c r="Q78"/>
  <c r="R77"/>
  <c r="X77" s="1"/>
  <c r="Z77" s="1"/>
  <c r="Q77"/>
  <c r="R76"/>
  <c r="X76" s="1"/>
  <c r="Z76" s="1"/>
  <c r="Q76"/>
  <c r="AS75"/>
  <c r="R74"/>
  <c r="S74" s="1"/>
  <c r="Y74" s="1"/>
  <c r="AA74" s="1"/>
  <c r="AD74" s="1"/>
  <c r="Q74"/>
  <c r="R73"/>
  <c r="X73" s="1"/>
  <c r="Z73" s="1"/>
  <c r="Q73"/>
  <c r="R72"/>
  <c r="S72" s="1"/>
  <c r="Y72" s="1"/>
  <c r="AA72" s="1"/>
  <c r="AD72" s="1"/>
  <c r="Q72"/>
  <c r="R71"/>
  <c r="X71" s="1"/>
  <c r="Z71" s="1"/>
  <c r="Q71"/>
  <c r="BA70"/>
  <c r="R70"/>
  <c r="X70" s="1"/>
  <c r="Z70" s="1"/>
  <c r="Q70"/>
  <c r="BA69"/>
  <c r="R69"/>
  <c r="X69" s="1"/>
  <c r="Z69" s="1"/>
  <c r="Q69"/>
  <c r="BA68"/>
  <c r="R68"/>
  <c r="X68" s="1"/>
  <c r="Z68" s="1"/>
  <c r="Q68"/>
  <c r="BA67"/>
  <c r="R67"/>
  <c r="X67" s="1"/>
  <c r="Z67" s="1"/>
  <c r="Q67"/>
  <c r="BA66"/>
  <c r="AB66"/>
  <c r="AB62" s="1"/>
  <c r="R66"/>
  <c r="S66" s="1"/>
  <c r="Y66" s="1"/>
  <c r="AA66" s="1"/>
  <c r="AD66" s="1"/>
  <c r="Q66"/>
  <c r="R65"/>
  <c r="X65" s="1"/>
  <c r="Z65" s="1"/>
  <c r="Q65"/>
  <c r="R64"/>
  <c r="S64" s="1"/>
  <c r="Y64" s="1"/>
  <c r="AA64" s="1"/>
  <c r="AD64" s="1"/>
  <c r="Q64"/>
  <c r="R63"/>
  <c r="X63" s="1"/>
  <c r="Z63" s="1"/>
  <c r="Q63"/>
  <c r="R62"/>
  <c r="X62" s="1"/>
  <c r="Z62" s="1"/>
  <c r="Q62"/>
  <c r="R61"/>
  <c r="S61" s="1"/>
  <c r="Y61" s="1"/>
  <c r="AA61" s="1"/>
  <c r="AD61" s="1"/>
  <c r="Q61"/>
  <c r="R60"/>
  <c r="X60" s="1"/>
  <c r="Z60" s="1"/>
  <c r="Q60"/>
  <c r="R59"/>
  <c r="S59" s="1"/>
  <c r="Y59" s="1"/>
  <c r="AA59" s="1"/>
  <c r="AD59" s="1"/>
  <c r="Q59"/>
  <c r="AA58"/>
  <c r="AD58" s="1"/>
  <c r="Z58"/>
  <c r="R57"/>
  <c r="X57" s="1"/>
  <c r="Z57" s="1"/>
  <c r="Q57"/>
  <c r="AS56"/>
  <c r="R55"/>
  <c r="X55" s="1"/>
  <c r="Z55" s="1"/>
  <c r="Q55"/>
  <c r="AB54"/>
  <c r="R54"/>
  <c r="S54" s="1"/>
  <c r="Y54" s="1"/>
  <c r="AA54" s="1"/>
  <c r="Q54"/>
  <c r="R53"/>
  <c r="X53" s="1"/>
  <c r="Z53" s="1"/>
  <c r="Q53"/>
  <c r="AS52"/>
  <c r="R52"/>
  <c r="R51"/>
  <c r="X51" s="1"/>
  <c r="Z51" s="1"/>
  <c r="Q51"/>
  <c r="AS50"/>
  <c r="AS49"/>
  <c r="R48"/>
  <c r="S48" s="1"/>
  <c r="Y48" s="1"/>
  <c r="AA48" s="1"/>
  <c r="AD48" s="1"/>
  <c r="Q48"/>
  <c r="R47"/>
  <c r="X47" s="1"/>
  <c r="Z47" s="1"/>
  <c r="Q47"/>
  <c r="R46"/>
  <c r="S46" s="1"/>
  <c r="Y46" s="1"/>
  <c r="AA46" s="1"/>
  <c r="AD46" s="1"/>
  <c r="Q46"/>
  <c r="R45"/>
  <c r="X45" s="1"/>
  <c r="Z45" s="1"/>
  <c r="Q45"/>
  <c r="W44"/>
  <c r="R44"/>
  <c r="S44" s="1"/>
  <c r="Q44"/>
  <c r="S43"/>
  <c r="Y43" s="1"/>
  <c r="AA43" s="1"/>
  <c r="AD43" s="1"/>
  <c r="R43"/>
  <c r="X43" s="1"/>
  <c r="Z43" s="1"/>
  <c r="Q43"/>
  <c r="T43" s="1"/>
  <c r="R42"/>
  <c r="X42" s="1"/>
  <c r="Z42" s="1"/>
  <c r="Q42"/>
  <c r="R41"/>
  <c r="X41" s="1"/>
  <c r="Z41" s="1"/>
  <c r="Q41"/>
  <c r="AS40"/>
  <c r="AS39"/>
  <c r="R38"/>
  <c r="X38" s="1"/>
  <c r="Z38" s="1"/>
  <c r="Q38"/>
  <c r="S37"/>
  <c r="Y37" s="1"/>
  <c r="AA37" s="1"/>
  <c r="AD37" s="1"/>
  <c r="R37"/>
  <c r="X37" s="1"/>
  <c r="Z37" s="1"/>
  <c r="Q37"/>
  <c r="T37" s="1"/>
  <c r="R36"/>
  <c r="X36" s="1"/>
  <c r="Z36" s="1"/>
  <c r="Q36"/>
  <c r="AS35"/>
  <c r="R34"/>
  <c r="S34" s="1"/>
  <c r="Y34" s="1"/>
  <c r="AA34" s="1"/>
  <c r="AD34" s="1"/>
  <c r="Q34"/>
  <c r="R33"/>
  <c r="X33" s="1"/>
  <c r="Z33" s="1"/>
  <c r="Q33"/>
  <c r="AS32"/>
  <c r="R31"/>
  <c r="X31" s="1"/>
  <c r="Z31" s="1"/>
  <c r="Q31"/>
  <c r="R30"/>
  <c r="X30" s="1"/>
  <c r="Z30" s="1"/>
  <c r="Q30"/>
  <c r="AS29"/>
  <c r="R28"/>
  <c r="S28" s="1"/>
  <c r="Y28" s="1"/>
  <c r="AA28" s="1"/>
  <c r="AD28" s="1"/>
  <c r="Q28"/>
  <c r="W27"/>
  <c r="W328" s="1"/>
  <c r="R27"/>
  <c r="X27" s="1"/>
  <c r="Z27" s="1"/>
  <c r="Q27"/>
  <c r="R26"/>
  <c r="X26" s="1"/>
  <c r="Z26" s="1"/>
  <c r="Q26"/>
  <c r="R25"/>
  <c r="S25" s="1"/>
  <c r="Y25" s="1"/>
  <c r="AA25" s="1"/>
  <c r="AD25" s="1"/>
  <c r="Q25"/>
  <c r="R24"/>
  <c r="X24" s="1"/>
  <c r="Z24" s="1"/>
  <c r="Q24"/>
  <c r="R23"/>
  <c r="S23" s="1"/>
  <c r="Y23" s="1"/>
  <c r="AA23" s="1"/>
  <c r="AD23" s="1"/>
  <c r="Q23"/>
  <c r="BC22"/>
  <c r="AQ22"/>
  <c r="BG22" s="1"/>
  <c r="R21"/>
  <c r="S21" s="1"/>
  <c r="Y21" s="1"/>
  <c r="AA21" s="1"/>
  <c r="AD21" s="1"/>
  <c r="Q21"/>
  <c r="R20"/>
  <c r="X20" s="1"/>
  <c r="Z20" s="1"/>
  <c r="Q20"/>
  <c r="R19"/>
  <c r="S19" s="1"/>
  <c r="Y19" s="1"/>
  <c r="AA19" s="1"/>
  <c r="AD19" s="1"/>
  <c r="Q19"/>
  <c r="R18"/>
  <c r="X18" s="1"/>
  <c r="Z18" s="1"/>
  <c r="Q18"/>
  <c r="R17"/>
  <c r="S17" s="1"/>
  <c r="Y17" s="1"/>
  <c r="AA17" s="1"/>
  <c r="AD17" s="1"/>
  <c r="Q17"/>
  <c r="AS16"/>
  <c r="BI16" s="1"/>
  <c r="R15"/>
  <c r="X15" s="1"/>
  <c r="Z15" s="1"/>
  <c r="Q15"/>
  <c r="R14"/>
  <c r="S14" s="1"/>
  <c r="Y14" s="1"/>
  <c r="AA14" s="1"/>
  <c r="AD14" s="1"/>
  <c r="Q14"/>
  <c r="R13"/>
  <c r="X13" s="1"/>
  <c r="Z13" s="1"/>
  <c r="Q13"/>
  <c r="AB12"/>
  <c r="R12"/>
  <c r="X12" s="1"/>
  <c r="Z12" s="1"/>
  <c r="Q12"/>
  <c r="R11"/>
  <c r="X11" s="1"/>
  <c r="Z11" s="1"/>
  <c r="Q11"/>
  <c r="S10"/>
  <c r="Y10" s="1"/>
  <c r="AA10" s="1"/>
  <c r="AD10" s="1"/>
  <c r="R10"/>
  <c r="X10" s="1"/>
  <c r="Z10" s="1"/>
  <c r="Q10"/>
  <c r="T10" s="1"/>
  <c r="R9"/>
  <c r="X9" s="1"/>
  <c r="Q9"/>
  <c r="A9"/>
  <c r="A10" s="1"/>
  <c r="A11" s="1"/>
  <c r="A12" s="1"/>
  <c r="A13" s="1"/>
  <c r="A14" s="1"/>
  <c r="A15" s="1"/>
  <c r="A17" s="1"/>
  <c r="A18" s="1"/>
  <c r="A19" s="1"/>
  <c r="A20" s="1"/>
  <c r="A21" s="1"/>
  <c r="A23" s="1"/>
  <c r="A24" s="1"/>
  <c r="A25" s="1"/>
  <c r="A26" s="1"/>
  <c r="A27" s="1"/>
  <c r="A28" s="1"/>
  <c r="A30" s="1"/>
  <c r="A31" s="1"/>
  <c r="A33" s="1"/>
  <c r="A34" s="1"/>
  <c r="A36" s="1"/>
  <c r="A37" s="1"/>
  <c r="A38" s="1"/>
  <c r="A41" s="1"/>
  <c r="A42" s="1"/>
  <c r="A43" s="1"/>
  <c r="A44" s="1"/>
  <c r="A45" s="1"/>
  <c r="A46" s="1"/>
  <c r="A47" s="1"/>
  <c r="A48" s="1"/>
  <c r="A51" s="1"/>
  <c r="A53" s="1"/>
  <c r="A54" s="1"/>
  <c r="A55" s="1"/>
  <c r="A57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6" s="1"/>
  <c r="A77" s="1"/>
  <c r="A78" s="1"/>
  <c r="A79" s="1"/>
  <c r="A80" s="1"/>
  <c r="A81" s="1"/>
  <c r="A82" s="1"/>
  <c r="A83" s="1"/>
  <c r="A84" s="1"/>
  <c r="A85" s="1"/>
  <c r="A87" s="1"/>
  <c r="A88" s="1"/>
  <c r="A89" s="1"/>
  <c r="A90" s="1"/>
  <c r="A92" s="1"/>
  <c r="A93" s="1"/>
  <c r="A94" s="1"/>
  <c r="A96" s="1"/>
  <c r="A98" s="1"/>
  <c r="A101" s="1"/>
  <c r="A102" s="1"/>
  <c r="A103" s="1"/>
  <c r="A104" s="1"/>
  <c r="A105" s="1"/>
  <c r="A106" s="1"/>
  <c r="A107" s="1"/>
  <c r="A109" s="1"/>
  <c r="A111" s="1"/>
  <c r="A112" s="1"/>
  <c r="A113" s="1"/>
  <c r="A115" s="1"/>
  <c r="A116" s="1"/>
  <c r="A117" s="1"/>
  <c r="A118" s="1"/>
  <c r="A119" s="1"/>
  <c r="A120" s="1"/>
  <c r="A121" s="1"/>
  <c r="A122" s="1"/>
  <c r="A123" s="1"/>
  <c r="A124" s="1"/>
  <c r="A125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5" s="1"/>
  <c r="A146" s="1"/>
  <c r="A147" s="1"/>
  <c r="A148" s="1"/>
  <c r="A149" s="1"/>
  <c r="A150" s="1"/>
  <c r="A151" s="1"/>
  <c r="A154" s="1"/>
  <c r="A155" s="1"/>
  <c r="A157" s="1"/>
  <c r="A158" s="1"/>
  <c r="A159" s="1"/>
  <c r="A161" s="1"/>
  <c r="A162" s="1"/>
  <c r="A166" s="1"/>
  <c r="A167" s="1"/>
  <c r="A168" s="1"/>
  <c r="A171" s="1"/>
  <c r="A172" s="1"/>
  <c r="A173" s="1"/>
  <c r="A175" s="1"/>
  <c r="A176" s="1"/>
  <c r="A177" s="1"/>
  <c r="A178" s="1"/>
  <c r="A179" s="1"/>
  <c r="A180" s="1"/>
  <c r="A181" s="1"/>
  <c r="A182" s="1"/>
  <c r="A183" s="1"/>
  <c r="A184" s="1"/>
  <c r="A186" s="1"/>
  <c r="A187" s="1"/>
  <c r="A189" s="1"/>
  <c r="A191" s="1"/>
  <c r="A192" s="1"/>
  <c r="A195" s="1"/>
  <c r="A196" s="1"/>
  <c r="A199" s="1"/>
  <c r="A200" s="1"/>
  <c r="A202" s="1"/>
  <c r="A204" s="1"/>
  <c r="A205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4" s="1"/>
  <c r="A225" s="1"/>
  <c r="A226" s="1"/>
  <c r="A227" s="1"/>
  <c r="A230" s="1"/>
  <c r="A231" s="1"/>
  <c r="A233" s="1"/>
  <c r="A234" s="1"/>
  <c r="A235" s="1"/>
  <c r="A239" s="1"/>
  <c r="A241" s="1"/>
  <c r="A243" s="1"/>
  <c r="A247" s="1"/>
  <c r="A248" s="1"/>
  <c r="A250" s="1"/>
  <c r="A251" s="1"/>
  <c r="A252" s="1"/>
  <c r="A253" s="1"/>
  <c r="A254" s="1"/>
  <c r="A255" s="1"/>
  <c r="A256" s="1"/>
  <c r="A257" s="1"/>
  <c r="A259" s="1"/>
  <c r="A260" s="1"/>
  <c r="A261" s="1"/>
  <c r="A263" s="1"/>
  <c r="A265" s="1"/>
  <c r="A267" s="1"/>
  <c r="A269" s="1"/>
  <c r="A270" s="1"/>
  <c r="A272" s="1"/>
  <c r="A273" s="1"/>
  <c r="A274" s="1"/>
  <c r="A275" s="1"/>
  <c r="A276" s="1"/>
  <c r="A277" s="1"/>
  <c r="A278" s="1"/>
  <c r="A280" s="1"/>
  <c r="A281" s="1"/>
  <c r="R8"/>
  <c r="X8" s="1"/>
  <c r="Q8"/>
  <c r="Q328" s="1"/>
  <c r="AR7"/>
  <c r="AP7"/>
  <c r="AO7"/>
  <c r="AN7"/>
  <c r="AL7"/>
  <c r="AK7"/>
  <c r="AJ7"/>
  <c r="AI7"/>
  <c r="AH7"/>
  <c r="AG7"/>
  <c r="AE7"/>
  <c r="AC7"/>
  <c r="W7"/>
  <c r="V7"/>
  <c r="Q7"/>
  <c r="J7"/>
  <c r="BJ264" l="1"/>
  <c r="BI264"/>
  <c r="BJ258"/>
  <c r="BI258"/>
  <c r="BJ262"/>
  <c r="BI262"/>
  <c r="BJ245"/>
  <c r="BI245"/>
  <c r="BJ244"/>
  <c r="BI244"/>
  <c r="BJ246"/>
  <c r="BI246"/>
  <c r="BJ242"/>
  <c r="BI242"/>
  <c r="BJ240"/>
  <c r="BI240"/>
  <c r="BJ238"/>
  <c r="BI238"/>
  <c r="BJ236"/>
  <c r="BI236"/>
  <c r="BJ237"/>
  <c r="BI237"/>
  <c r="BJ232"/>
  <c r="BI232"/>
  <c r="BJ228"/>
  <c r="BJ229"/>
  <c r="BI229"/>
  <c r="BJ223"/>
  <c r="BI223"/>
  <c r="BJ206"/>
  <c r="BI206"/>
  <c r="BJ203"/>
  <c r="BI203"/>
  <c r="BJ127"/>
  <c r="BI127"/>
  <c r="BJ126"/>
  <c r="BI126"/>
  <c r="BJ128"/>
  <c r="BI128"/>
  <c r="BJ114"/>
  <c r="BI114"/>
  <c r="BJ110"/>
  <c r="BI110"/>
  <c r="BJ108"/>
  <c r="BI108"/>
  <c r="BJ97"/>
  <c r="BI97"/>
  <c r="BJ99"/>
  <c r="BI99"/>
  <c r="BJ100"/>
  <c r="BI100"/>
  <c r="BJ95"/>
  <c r="BI95"/>
  <c r="BJ91"/>
  <c r="BI91"/>
  <c r="BJ86"/>
  <c r="BI86"/>
  <c r="BJ75"/>
  <c r="BI75"/>
  <c r="BJ56"/>
  <c r="BI56"/>
  <c r="BJ39"/>
  <c r="BI39"/>
  <c r="BJ16"/>
  <c r="BJ52"/>
  <c r="BI52"/>
  <c r="BJ49"/>
  <c r="BI49"/>
  <c r="BJ50"/>
  <c r="BI50"/>
  <c r="BJ40"/>
  <c r="BI40"/>
  <c r="BJ35"/>
  <c r="BI35"/>
  <c r="BJ32"/>
  <c r="BI32"/>
  <c r="BJ29"/>
  <c r="BI29"/>
  <c r="BJ144"/>
  <c r="BI144"/>
  <c r="BJ160"/>
  <c r="BI160"/>
  <c r="BJ163"/>
  <c r="BI163"/>
  <c r="BJ165"/>
  <c r="BI165"/>
  <c r="BJ174"/>
  <c r="BI174"/>
  <c r="BJ185"/>
  <c r="BI185"/>
  <c r="BJ190"/>
  <c r="BI190"/>
  <c r="BJ193"/>
  <c r="BI193"/>
  <c r="BJ201"/>
  <c r="BI201"/>
  <c r="BJ266"/>
  <c r="BI266"/>
  <c r="BJ271"/>
  <c r="BI271"/>
  <c r="BJ296"/>
  <c r="BI296"/>
  <c r="BJ307"/>
  <c r="BI307"/>
  <c r="BJ319"/>
  <c r="BI319"/>
  <c r="BJ152"/>
  <c r="BJ153"/>
  <c r="BJ156"/>
  <c r="BJ164"/>
  <c r="BI164"/>
  <c r="BJ188"/>
  <c r="BI188"/>
  <c r="BJ194"/>
  <c r="BI194"/>
  <c r="BJ198"/>
  <c r="BI198"/>
  <c r="BJ268"/>
  <c r="BI268"/>
  <c r="BJ279"/>
  <c r="BI279"/>
  <c r="BJ305"/>
  <c r="BI305"/>
  <c r="BJ306"/>
  <c r="BI306"/>
  <c r="BJ320"/>
  <c r="BI320"/>
  <c r="T11"/>
  <c r="S11"/>
  <c r="Y11" s="1"/>
  <c r="AA11" s="1"/>
  <c r="AD11" s="1"/>
  <c r="S31"/>
  <c r="Y31" s="1"/>
  <c r="AA31" s="1"/>
  <c r="AD31" s="1"/>
  <c r="S41"/>
  <c r="Y41" s="1"/>
  <c r="AA41" s="1"/>
  <c r="AD41" s="1"/>
  <c r="AD54"/>
  <c r="T55"/>
  <c r="S55"/>
  <c r="Y55" s="1"/>
  <c r="AA55" s="1"/>
  <c r="AD55" s="1"/>
  <c r="S85"/>
  <c r="Y85" s="1"/>
  <c r="AA85" s="1"/>
  <c r="AD85" s="1"/>
  <c r="AD92"/>
  <c r="T93"/>
  <c r="S93"/>
  <c r="Y93" s="1"/>
  <c r="AA93" s="1"/>
  <c r="AD93" s="1"/>
  <c r="S104"/>
  <c r="Y104" s="1"/>
  <c r="AA104" s="1"/>
  <c r="AD104" s="1"/>
  <c r="AD119"/>
  <c r="T120"/>
  <c r="S120"/>
  <c r="Y120" s="1"/>
  <c r="AA120" s="1"/>
  <c r="AD120" s="1"/>
  <c r="S139"/>
  <c r="Y139" s="1"/>
  <c r="AA139" s="1"/>
  <c r="AD139" s="1"/>
  <c r="AD145"/>
  <c r="T146"/>
  <c r="S146"/>
  <c r="Y146" s="1"/>
  <c r="AA146" s="1"/>
  <c r="AD146" s="1"/>
  <c r="S161"/>
  <c r="Y161" s="1"/>
  <c r="AA161" s="1"/>
  <c r="AD161" s="1"/>
  <c r="S184"/>
  <c r="Y184" s="1"/>
  <c r="AA184" s="1"/>
  <c r="AD184" s="1"/>
  <c r="S191"/>
  <c r="Y191" s="1"/>
  <c r="AA191" s="1"/>
  <c r="AD191" s="1"/>
  <c r="S199"/>
  <c r="Y199" s="1"/>
  <c r="AA199" s="1"/>
  <c r="AD199" s="1"/>
  <c r="S202"/>
  <c r="Y202" s="1"/>
  <c r="AA202" s="1"/>
  <c r="AD202" s="1"/>
  <c r="S204"/>
  <c r="Y204" s="1"/>
  <c r="AA204" s="1"/>
  <c r="AD204" s="1"/>
  <c r="S216"/>
  <c r="Y216" s="1"/>
  <c r="AA216" s="1"/>
  <c r="AD216" s="1"/>
  <c r="S220"/>
  <c r="Y220" s="1"/>
  <c r="AA220" s="1"/>
  <c r="AD220" s="1"/>
  <c r="S235"/>
  <c r="Y235" s="1"/>
  <c r="AA235" s="1"/>
  <c r="AD235" s="1"/>
  <c r="S257"/>
  <c r="Y257" s="1"/>
  <c r="AA257" s="1"/>
  <c r="AD257" s="1"/>
  <c r="S273"/>
  <c r="Y273" s="1"/>
  <c r="AA273" s="1"/>
  <c r="AD273" s="1"/>
  <c r="S276"/>
  <c r="Y276" s="1"/>
  <c r="AA276" s="1"/>
  <c r="AD276" s="1"/>
  <c r="S283"/>
  <c r="Y283" s="1"/>
  <c r="AA283" s="1"/>
  <c r="AD283" s="1"/>
  <c r="AQ309"/>
  <c r="AS309" s="1"/>
  <c r="T311"/>
  <c r="S311"/>
  <c r="Y311" s="1"/>
  <c r="AA311" s="1"/>
  <c r="AD311" s="1"/>
  <c r="T314"/>
  <c r="S314"/>
  <c r="Y314" s="1"/>
  <c r="AA314" s="1"/>
  <c r="AD314" s="1"/>
  <c r="AM314" s="1"/>
  <c r="S8"/>
  <c r="S77"/>
  <c r="Y77" s="1"/>
  <c r="AA77" s="1"/>
  <c r="AD77" s="1"/>
  <c r="S81"/>
  <c r="Y81" s="1"/>
  <c r="AA81" s="1"/>
  <c r="AD81" s="1"/>
  <c r="S89"/>
  <c r="Y89" s="1"/>
  <c r="AA89" s="1"/>
  <c r="AD89" s="1"/>
  <c r="S209"/>
  <c r="Y209" s="1"/>
  <c r="AA209" s="1"/>
  <c r="AD209" s="1"/>
  <c r="S218"/>
  <c r="Y218" s="1"/>
  <c r="AA218" s="1"/>
  <c r="AD218" s="1"/>
  <c r="S225"/>
  <c r="Y225" s="1"/>
  <c r="AA225" s="1"/>
  <c r="AD225" s="1"/>
  <c r="S239"/>
  <c r="Y239" s="1"/>
  <c r="AA239" s="1"/>
  <c r="AD239" s="1"/>
  <c r="S261"/>
  <c r="Y261" s="1"/>
  <c r="AA261" s="1"/>
  <c r="AD261" s="1"/>
  <c r="S278"/>
  <c r="Y278" s="1"/>
  <c r="AA278" s="1"/>
  <c r="AD278" s="1"/>
  <c r="S294"/>
  <c r="Y294" s="1"/>
  <c r="AA294" s="1"/>
  <c r="AD294" s="1"/>
  <c r="S297"/>
  <c r="Y297" s="1"/>
  <c r="AA297" s="1"/>
  <c r="AD297" s="1"/>
  <c r="T299"/>
  <c r="X14"/>
  <c r="Z14" s="1"/>
  <c r="X17"/>
  <c r="Z17" s="1"/>
  <c r="X19"/>
  <c r="Z19" s="1"/>
  <c r="X21"/>
  <c r="Z21" s="1"/>
  <c r="X23"/>
  <c r="Z23" s="1"/>
  <c r="X25"/>
  <c r="Z25" s="1"/>
  <c r="X28"/>
  <c r="Z28" s="1"/>
  <c r="X34"/>
  <c r="Z34" s="1"/>
  <c r="X46"/>
  <c r="Z46" s="1"/>
  <c r="X48"/>
  <c r="Z48" s="1"/>
  <c r="X54"/>
  <c r="Z54" s="1"/>
  <c r="X59"/>
  <c r="Z59" s="1"/>
  <c r="X61"/>
  <c r="Z61" s="1"/>
  <c r="X64"/>
  <c r="Z64" s="1"/>
  <c r="X66"/>
  <c r="Z66" s="1"/>
  <c r="X72"/>
  <c r="Z72" s="1"/>
  <c r="X74"/>
  <c r="Z74" s="1"/>
  <c r="X82"/>
  <c r="Z82" s="1"/>
  <c r="X88"/>
  <c r="Z88" s="1"/>
  <c r="X92"/>
  <c r="Z92" s="1"/>
  <c r="T109"/>
  <c r="S109"/>
  <c r="Y109" s="1"/>
  <c r="AA109" s="1"/>
  <c r="AD109" s="1"/>
  <c r="X112"/>
  <c r="Z112" s="1"/>
  <c r="X115"/>
  <c r="Z115" s="1"/>
  <c r="X117"/>
  <c r="Z117" s="1"/>
  <c r="X119"/>
  <c r="Z119" s="1"/>
  <c r="X123"/>
  <c r="Z123" s="1"/>
  <c r="X125"/>
  <c r="Z125" s="1"/>
  <c r="X132"/>
  <c r="Z132" s="1"/>
  <c r="X136"/>
  <c r="Z136" s="1"/>
  <c r="X142"/>
  <c r="Z142" s="1"/>
  <c r="X145"/>
  <c r="Z145" s="1"/>
  <c r="X149"/>
  <c r="Z149" s="1"/>
  <c r="S154"/>
  <c r="Y154" s="1"/>
  <c r="AA154" s="1"/>
  <c r="AD154" s="1"/>
  <c r="S157"/>
  <c r="Y157" s="1"/>
  <c r="AA157" s="1"/>
  <c r="AD157" s="1"/>
  <c r="S162"/>
  <c r="Y162" s="1"/>
  <c r="AA162" s="1"/>
  <c r="AD162" s="1"/>
  <c r="X171"/>
  <c r="Z171" s="1"/>
  <c r="X173"/>
  <c r="Z173" s="1"/>
  <c r="S177"/>
  <c r="Y177" s="1"/>
  <c r="AA177" s="1"/>
  <c r="AD177" s="1"/>
  <c r="S179"/>
  <c r="Y179" s="1"/>
  <c r="AA179" s="1"/>
  <c r="AD179" s="1"/>
  <c r="S181"/>
  <c r="Y181" s="1"/>
  <c r="AA181" s="1"/>
  <c r="AD181" s="1"/>
  <c r="S187"/>
  <c r="Y187" s="1"/>
  <c r="AA187" s="1"/>
  <c r="AD187" s="1"/>
  <c r="S192"/>
  <c r="Y192" s="1"/>
  <c r="AA192" s="1"/>
  <c r="AD192" s="1"/>
  <c r="S200"/>
  <c r="Y200" s="1"/>
  <c r="AA200" s="1"/>
  <c r="AD200" s="1"/>
  <c r="S207"/>
  <c r="Y207" s="1"/>
  <c r="AA207" s="1"/>
  <c r="AD207" s="1"/>
  <c r="AM207" s="1"/>
  <c r="S211"/>
  <c r="Y211" s="1"/>
  <c r="AA211" s="1"/>
  <c r="AD211" s="1"/>
  <c r="AM211" s="1"/>
  <c r="S212"/>
  <c r="Y212" s="1"/>
  <c r="AA212" s="1"/>
  <c r="AD212" s="1"/>
  <c r="S214"/>
  <c r="Y214" s="1"/>
  <c r="AA214" s="1"/>
  <c r="AD214" s="1"/>
  <c r="S224"/>
  <c r="Y224" s="1"/>
  <c r="AA224" s="1"/>
  <c r="AD224" s="1"/>
  <c r="S226"/>
  <c r="Y226" s="1"/>
  <c r="AA226" s="1"/>
  <c r="AD226" s="1"/>
  <c r="S230"/>
  <c r="Y230" s="1"/>
  <c r="AA230" s="1"/>
  <c r="AD230" s="1"/>
  <c r="S243"/>
  <c r="Y243" s="1"/>
  <c r="AA243" s="1"/>
  <c r="AD243" s="1"/>
  <c r="S250"/>
  <c r="Y250" s="1"/>
  <c r="AA250" s="1"/>
  <c r="AD250" s="1"/>
  <c r="S252"/>
  <c r="Y252" s="1"/>
  <c r="AA252" s="1"/>
  <c r="AD252" s="1"/>
  <c r="S254"/>
  <c r="Y254" s="1"/>
  <c r="AA254" s="1"/>
  <c r="AD254" s="1"/>
  <c r="S265"/>
  <c r="Y265" s="1"/>
  <c r="AA265" s="1"/>
  <c r="AD265" s="1"/>
  <c r="S270"/>
  <c r="Y270" s="1"/>
  <c r="AA270" s="1"/>
  <c r="AD270" s="1"/>
  <c r="S281"/>
  <c r="Y281" s="1"/>
  <c r="AA281" s="1"/>
  <c r="AD281" s="1"/>
  <c r="S285"/>
  <c r="Y285" s="1"/>
  <c r="AA285" s="1"/>
  <c r="AD285" s="1"/>
  <c r="S289"/>
  <c r="Y289" s="1"/>
  <c r="AA289" s="1"/>
  <c r="AD289" s="1"/>
  <c r="S291"/>
  <c r="Y291" s="1"/>
  <c r="AA291" s="1"/>
  <c r="AD291" s="1"/>
  <c r="S293"/>
  <c r="Y293" s="1"/>
  <c r="AA293" s="1"/>
  <c r="AD293" s="1"/>
  <c r="X299"/>
  <c r="Z299" s="1"/>
  <c r="S301"/>
  <c r="Y301" s="1"/>
  <c r="AA301" s="1"/>
  <c r="AD301" s="1"/>
  <c r="S302"/>
  <c r="Y302" s="1"/>
  <c r="AA302" s="1"/>
  <c r="AD302" s="1"/>
  <c r="AM302" s="1"/>
  <c r="X304"/>
  <c r="Z304" s="1"/>
  <c r="X305"/>
  <c r="Z305" s="1"/>
  <c r="X316"/>
  <c r="Z316" s="1"/>
  <c r="X323"/>
  <c r="Z323" s="1"/>
  <c r="S325"/>
  <c r="Y325" s="1"/>
  <c r="AA325" s="1"/>
  <c r="AD325" s="1"/>
  <c r="AM325" s="1"/>
  <c r="X327"/>
  <c r="Z327" s="1"/>
  <c r="T14"/>
  <c r="T17"/>
  <c r="T19"/>
  <c r="T21"/>
  <c r="T23"/>
  <c r="T25"/>
  <c r="S27"/>
  <c r="Y27" s="1"/>
  <c r="AA27" s="1"/>
  <c r="AD27" s="1"/>
  <c r="T28"/>
  <c r="T34"/>
  <c r="T46"/>
  <c r="T48"/>
  <c r="T54"/>
  <c r="T59"/>
  <c r="T61"/>
  <c r="T64"/>
  <c r="T66"/>
  <c r="AB7"/>
  <c r="T72"/>
  <c r="T74"/>
  <c r="T82"/>
  <c r="T88"/>
  <c r="T92"/>
  <c r="T112"/>
  <c r="T115"/>
  <c r="T117"/>
  <c r="T119"/>
  <c r="T123"/>
  <c r="T125"/>
  <c r="T132"/>
  <c r="T136"/>
  <c r="T142"/>
  <c r="T145"/>
  <c r="T149"/>
  <c r="T171"/>
  <c r="T173"/>
  <c r="T304"/>
  <c r="T305"/>
  <c r="AQ308"/>
  <c r="AS308" s="1"/>
  <c r="T316"/>
  <c r="X321"/>
  <c r="Z321" s="1"/>
  <c r="T323"/>
  <c r="T327"/>
  <c r="AU10"/>
  <c r="BB10" s="1"/>
  <c r="AF10"/>
  <c r="AM10"/>
  <c r="AU11"/>
  <c r="BB11" s="1"/>
  <c r="AF11"/>
  <c r="AM11"/>
  <c r="AU31"/>
  <c r="BB31" s="1"/>
  <c r="AF31"/>
  <c r="AM31"/>
  <c r="AU37"/>
  <c r="BB37" s="1"/>
  <c r="AF37"/>
  <c r="AM37"/>
  <c r="AU41"/>
  <c r="BB41" s="1"/>
  <c r="AF41"/>
  <c r="AM41"/>
  <c r="AU43"/>
  <c r="BB43" s="1"/>
  <c r="AF43"/>
  <c r="AM43"/>
  <c r="AU55"/>
  <c r="BB55" s="1"/>
  <c r="AF55"/>
  <c r="AM55"/>
  <c r="AM58"/>
  <c r="AU58"/>
  <c r="BB58" s="1"/>
  <c r="AF58"/>
  <c r="AU77"/>
  <c r="BB77" s="1"/>
  <c r="AF77"/>
  <c r="AM77"/>
  <c r="AU79"/>
  <c r="BB79" s="1"/>
  <c r="AF79"/>
  <c r="AM79"/>
  <c r="AM81"/>
  <c r="AU81"/>
  <c r="BB81" s="1"/>
  <c r="AF81"/>
  <c r="AU85"/>
  <c r="BB85" s="1"/>
  <c r="AF85"/>
  <c r="AM85"/>
  <c r="AF89"/>
  <c r="AU89"/>
  <c r="BB89" s="1"/>
  <c r="AM89"/>
  <c r="AU93"/>
  <c r="BB93" s="1"/>
  <c r="AF93"/>
  <c r="AM93"/>
  <c r="AU102"/>
  <c r="BB102" s="1"/>
  <c r="AF102"/>
  <c r="AM102"/>
  <c r="AU104"/>
  <c r="BB104" s="1"/>
  <c r="AF104"/>
  <c r="AM104"/>
  <c r="AU106"/>
  <c r="BB106" s="1"/>
  <c r="AF106"/>
  <c r="AM106"/>
  <c r="AU109"/>
  <c r="BB109" s="1"/>
  <c r="AF109"/>
  <c r="AM109"/>
  <c r="AU120"/>
  <c r="BB120" s="1"/>
  <c r="AF120"/>
  <c r="AM120"/>
  <c r="A293"/>
  <c r="A294" s="1"/>
  <c r="A295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21" s="1"/>
  <c r="A322" s="1"/>
  <c r="A323" s="1"/>
  <c r="A324" s="1"/>
  <c r="A325" s="1"/>
  <c r="A326" s="1"/>
  <c r="A327" s="1"/>
  <c r="A282"/>
  <c r="A283" s="1"/>
  <c r="A284" s="1"/>
  <c r="A285" s="1"/>
  <c r="A286" s="1"/>
  <c r="A287" s="1"/>
  <c r="A288" s="1"/>
  <c r="A289" s="1"/>
  <c r="A290" s="1"/>
  <c r="A291" s="1"/>
  <c r="A292" s="1"/>
  <c r="Z9"/>
  <c r="AU14"/>
  <c r="BB14" s="1"/>
  <c r="AF14"/>
  <c r="AM14"/>
  <c r="AU17"/>
  <c r="BB17" s="1"/>
  <c r="AF17"/>
  <c r="AM17"/>
  <c r="AU19"/>
  <c r="BB19" s="1"/>
  <c r="AF19"/>
  <c r="AM19"/>
  <c r="AU21"/>
  <c r="BB21" s="1"/>
  <c r="AF21"/>
  <c r="AM21"/>
  <c r="AU23"/>
  <c r="BB23" s="1"/>
  <c r="AF23"/>
  <c r="AM23"/>
  <c r="AU25"/>
  <c r="BB25" s="1"/>
  <c r="AF25"/>
  <c r="AM25"/>
  <c r="AM27"/>
  <c r="AU27"/>
  <c r="BB27" s="1"/>
  <c r="AF27"/>
  <c r="AU28"/>
  <c r="BB28" s="1"/>
  <c r="AF28"/>
  <c r="AM28"/>
  <c r="AU34"/>
  <c r="BB34" s="1"/>
  <c r="AF34"/>
  <c r="AM34"/>
  <c r="Y44"/>
  <c r="AA44" s="1"/>
  <c r="AD44" s="1"/>
  <c r="T44"/>
  <c r="AU46"/>
  <c r="BB46" s="1"/>
  <c r="AF46"/>
  <c r="AM46"/>
  <c r="AU48"/>
  <c r="BB48" s="1"/>
  <c r="AF48"/>
  <c r="AM48"/>
  <c r="AM54"/>
  <c r="AU54"/>
  <c r="BB54" s="1"/>
  <c r="AF54"/>
  <c r="AU59"/>
  <c r="BB59" s="1"/>
  <c r="AF59"/>
  <c r="AM59"/>
  <c r="AU61"/>
  <c r="BB61" s="1"/>
  <c r="AF61"/>
  <c r="AM61"/>
  <c r="AU64"/>
  <c r="BB64" s="1"/>
  <c r="AF64"/>
  <c r="AM64"/>
  <c r="AM66"/>
  <c r="AU66"/>
  <c r="BB66" s="1"/>
  <c r="AF66"/>
  <c r="AU72"/>
  <c r="BB72" s="1"/>
  <c r="AF72"/>
  <c r="AM72"/>
  <c r="AU74"/>
  <c r="BB74" s="1"/>
  <c r="AF74"/>
  <c r="AM74"/>
  <c r="AU82"/>
  <c r="BB82" s="1"/>
  <c r="AF82"/>
  <c r="AM82"/>
  <c r="AU88"/>
  <c r="BB88" s="1"/>
  <c r="AF88"/>
  <c r="AM88"/>
  <c r="AM92"/>
  <c r="AU92"/>
  <c r="BB92" s="1"/>
  <c r="AF92"/>
  <c r="AU112"/>
  <c r="BB112" s="1"/>
  <c r="AF112"/>
  <c r="AM112"/>
  <c r="AU115"/>
  <c r="BB115" s="1"/>
  <c r="AF115"/>
  <c r="AM115"/>
  <c r="AU117"/>
  <c r="BB117" s="1"/>
  <c r="AF117"/>
  <c r="AM117"/>
  <c r="AM119"/>
  <c r="AU119"/>
  <c r="BB119" s="1"/>
  <c r="AF119"/>
  <c r="Y121"/>
  <c r="AA121" s="1"/>
  <c r="AD121" s="1"/>
  <c r="T121"/>
  <c r="AU123"/>
  <c r="BB123" s="1"/>
  <c r="AF123"/>
  <c r="AM123"/>
  <c r="AU125"/>
  <c r="BB125" s="1"/>
  <c r="AF125"/>
  <c r="AM125"/>
  <c r="AU132"/>
  <c r="BB132" s="1"/>
  <c r="AF132"/>
  <c r="AM132"/>
  <c r="BC132" s="1"/>
  <c r="X129"/>
  <c r="Z129" s="1"/>
  <c r="S129"/>
  <c r="AU130"/>
  <c r="BB130" s="1"/>
  <c r="AF130"/>
  <c r="AM139"/>
  <c r="AU139"/>
  <c r="BB139" s="1"/>
  <c r="AF139"/>
  <c r="AU141"/>
  <c r="BB141" s="1"/>
  <c r="AF141"/>
  <c r="AM141"/>
  <c r="AM146"/>
  <c r="AU146"/>
  <c r="BB146" s="1"/>
  <c r="AF146"/>
  <c r="AU148"/>
  <c r="BB148" s="1"/>
  <c r="AF148"/>
  <c r="AM148"/>
  <c r="AM154"/>
  <c r="AU154"/>
  <c r="BB154" s="1"/>
  <c r="AF154"/>
  <c r="AM157"/>
  <c r="AU157"/>
  <c r="BB157" s="1"/>
  <c r="AF157"/>
  <c r="AM162"/>
  <c r="AU162"/>
  <c r="BB162" s="1"/>
  <c r="AF162"/>
  <c r="AM177"/>
  <c r="AU177"/>
  <c r="BB177" s="1"/>
  <c r="AF177"/>
  <c r="AM179"/>
  <c r="AU179"/>
  <c r="BB179" s="1"/>
  <c r="AF179"/>
  <c r="AM181"/>
  <c r="AU181"/>
  <c r="BB181" s="1"/>
  <c r="AF181"/>
  <c r="AM187"/>
  <c r="AU187"/>
  <c r="BB187" s="1"/>
  <c r="AF187"/>
  <c r="AM192"/>
  <c r="AU192"/>
  <c r="BB192" s="1"/>
  <c r="AF192"/>
  <c r="AM200"/>
  <c r="AU200"/>
  <c r="BB200" s="1"/>
  <c r="AF200"/>
  <c r="BC207"/>
  <c r="AQ207"/>
  <c r="AQ211"/>
  <c r="BC211"/>
  <c r="AM212"/>
  <c r="AF212"/>
  <c r="AU212"/>
  <c r="BB212" s="1"/>
  <c r="AU214"/>
  <c r="BB214" s="1"/>
  <c r="AF214"/>
  <c r="AM214"/>
  <c r="Z8"/>
  <c r="X44"/>
  <c r="Z44" s="1"/>
  <c r="X121"/>
  <c r="Z121" s="1"/>
  <c r="X131"/>
  <c r="Z131" s="1"/>
  <c r="S131"/>
  <c r="AM133"/>
  <c r="AU133"/>
  <c r="BB133" s="1"/>
  <c r="AF133"/>
  <c r="AM136"/>
  <c r="AU136"/>
  <c r="BB136" s="1"/>
  <c r="AF136"/>
  <c r="AM142"/>
  <c r="AU142"/>
  <c r="BB142" s="1"/>
  <c r="AF142"/>
  <c r="AU145"/>
  <c r="BB145" s="1"/>
  <c r="AF145"/>
  <c r="AM145"/>
  <c r="AM149"/>
  <c r="AU149"/>
  <c r="BB149" s="1"/>
  <c r="AF149"/>
  <c r="AU161"/>
  <c r="BB161" s="1"/>
  <c r="AF161"/>
  <c r="AM161"/>
  <c r="AM167"/>
  <c r="AU167"/>
  <c r="BB167" s="1"/>
  <c r="AF167"/>
  <c r="AM171"/>
  <c r="AU171"/>
  <c r="BB171" s="1"/>
  <c r="AF171"/>
  <c r="AM173"/>
  <c r="AU173"/>
  <c r="BB173" s="1"/>
  <c r="AF173"/>
  <c r="AM184"/>
  <c r="AU184"/>
  <c r="BB184" s="1"/>
  <c r="AF184"/>
  <c r="AU191"/>
  <c r="BB191" s="1"/>
  <c r="AF191"/>
  <c r="AM191"/>
  <c r="AU199"/>
  <c r="BB199" s="1"/>
  <c r="AF199"/>
  <c r="AM199"/>
  <c r="AM202"/>
  <c r="AU202"/>
  <c r="BB202" s="1"/>
  <c r="AF202"/>
  <c r="AU204"/>
  <c r="BB204" s="1"/>
  <c r="AF204"/>
  <c r="AM204"/>
  <c r="AU209"/>
  <c r="BB209" s="1"/>
  <c r="AF209"/>
  <c r="AM209"/>
  <c r="T8"/>
  <c r="Y8"/>
  <c r="S9"/>
  <c r="S12"/>
  <c r="AB328"/>
  <c r="S13"/>
  <c r="S15"/>
  <c r="S18"/>
  <c r="S20"/>
  <c r="AS22"/>
  <c r="BJ22" s="1"/>
  <c r="S24"/>
  <c r="S26"/>
  <c r="S30"/>
  <c r="S33"/>
  <c r="S36"/>
  <c r="S38"/>
  <c r="S42"/>
  <c r="S45"/>
  <c r="S47"/>
  <c r="S51"/>
  <c r="S53"/>
  <c r="S57"/>
  <c r="S60"/>
  <c r="S62"/>
  <c r="S63"/>
  <c r="S65"/>
  <c r="S67"/>
  <c r="S68"/>
  <c r="S69"/>
  <c r="S70"/>
  <c r="S71"/>
  <c r="S73"/>
  <c r="S76"/>
  <c r="S78"/>
  <c r="S80"/>
  <c r="S83"/>
  <c r="S84"/>
  <c r="S87"/>
  <c r="BE89"/>
  <c r="S90"/>
  <c r="S94"/>
  <c r="S96"/>
  <c r="S98"/>
  <c r="S101"/>
  <c r="S103"/>
  <c r="S105"/>
  <c r="S107"/>
  <c r="S111"/>
  <c r="S113"/>
  <c r="S116"/>
  <c r="S118"/>
  <c r="S122"/>
  <c r="S124"/>
  <c r="AM130"/>
  <c r="X208"/>
  <c r="Z208" s="1"/>
  <c r="S208"/>
  <c r="X213"/>
  <c r="Z213" s="1"/>
  <c r="S213"/>
  <c r="Y221"/>
  <c r="AA221" s="1"/>
  <c r="AD221" s="1"/>
  <c r="T221"/>
  <c r="AU224"/>
  <c r="BB224" s="1"/>
  <c r="AF224"/>
  <c r="AM224"/>
  <c r="AU226"/>
  <c r="BB226" s="1"/>
  <c r="AF226"/>
  <c r="AM226"/>
  <c r="AU230"/>
  <c r="BB230" s="1"/>
  <c r="AF230"/>
  <c r="AM230"/>
  <c r="AU243"/>
  <c r="BB243" s="1"/>
  <c r="AF243"/>
  <c r="AM243"/>
  <c r="AU250"/>
  <c r="BB250" s="1"/>
  <c r="AF250"/>
  <c r="AM250"/>
  <c r="AU252"/>
  <c r="BB252" s="1"/>
  <c r="AF252"/>
  <c r="AM252"/>
  <c r="AU254"/>
  <c r="BB254" s="1"/>
  <c r="AF254"/>
  <c r="AM254"/>
  <c r="AU265"/>
  <c r="BB265" s="1"/>
  <c r="AF265"/>
  <c r="AM265"/>
  <c r="AU270"/>
  <c r="BB270" s="1"/>
  <c r="AF270"/>
  <c r="AM270"/>
  <c r="AU281"/>
  <c r="BB281" s="1"/>
  <c r="AF281"/>
  <c r="AM281"/>
  <c r="AU285"/>
  <c r="BB285" s="1"/>
  <c r="AF285"/>
  <c r="AM285"/>
  <c r="S134"/>
  <c r="S135"/>
  <c r="S137"/>
  <c r="S138"/>
  <c r="S140"/>
  <c r="S143"/>
  <c r="S147"/>
  <c r="S150"/>
  <c r="S151"/>
  <c r="S155"/>
  <c r="S158"/>
  <c r="S159"/>
  <c r="S166"/>
  <c r="S168"/>
  <c r="S172"/>
  <c r="R175"/>
  <c r="R328" s="1"/>
  <c r="S176"/>
  <c r="S178"/>
  <c r="S180"/>
  <c r="S182"/>
  <c r="S183"/>
  <c r="S186"/>
  <c r="S189"/>
  <c r="S195"/>
  <c r="S196"/>
  <c r="X205"/>
  <c r="Z205" s="1"/>
  <c r="S205"/>
  <c r="AU207"/>
  <c r="BB207" s="1"/>
  <c r="AF207"/>
  <c r="X210"/>
  <c r="Z210" s="1"/>
  <c r="S210"/>
  <c r="AU211"/>
  <c r="BB211" s="1"/>
  <c r="AF211"/>
  <c r="AU216"/>
  <c r="BB216" s="1"/>
  <c r="AF216"/>
  <c r="AM216"/>
  <c r="AU218"/>
  <c r="BB218" s="1"/>
  <c r="AF218"/>
  <c r="AM218"/>
  <c r="AU220"/>
  <c r="BB220" s="1"/>
  <c r="AF220"/>
  <c r="AM220"/>
  <c r="AM225"/>
  <c r="AU225"/>
  <c r="BB225" s="1"/>
  <c r="AF225"/>
  <c r="AU235"/>
  <c r="BB235" s="1"/>
  <c r="AF235"/>
  <c r="AM235"/>
  <c r="AU239"/>
  <c r="BB239" s="1"/>
  <c r="AF239"/>
  <c r="AM239"/>
  <c r="AU257"/>
  <c r="BB257" s="1"/>
  <c r="AF257"/>
  <c r="AM257"/>
  <c r="AU261"/>
  <c r="BB261" s="1"/>
  <c r="AF261"/>
  <c r="AM261"/>
  <c r="AM269"/>
  <c r="AU269"/>
  <c r="BB269" s="1"/>
  <c r="AF269"/>
  <c r="AU273"/>
  <c r="BB273" s="1"/>
  <c r="AF273"/>
  <c r="AM273"/>
  <c r="AU275"/>
  <c r="AF275"/>
  <c r="AM275"/>
  <c r="AU276"/>
  <c r="BB276" s="1"/>
  <c r="AF276"/>
  <c r="AM276"/>
  <c r="AM278"/>
  <c r="AU278"/>
  <c r="BB278" s="1"/>
  <c r="AF278"/>
  <c r="X282"/>
  <c r="Z282" s="1"/>
  <c r="S282"/>
  <c r="AU283"/>
  <c r="BB283" s="1"/>
  <c r="AF283"/>
  <c r="X286"/>
  <c r="Z286" s="1"/>
  <c r="S286"/>
  <c r="AU287"/>
  <c r="BB287" s="1"/>
  <c r="AF287"/>
  <c r="AM289"/>
  <c r="AU289"/>
  <c r="BB289" s="1"/>
  <c r="AF289"/>
  <c r="AM291"/>
  <c r="AU291"/>
  <c r="BB291" s="1"/>
  <c r="AF291"/>
  <c r="AU293"/>
  <c r="BB293" s="1"/>
  <c r="AF293"/>
  <c r="AM293"/>
  <c r="AM301"/>
  <c r="AU301"/>
  <c r="BB301" s="1"/>
  <c r="AF301"/>
  <c r="BC302"/>
  <c r="AQ302"/>
  <c r="AU311"/>
  <c r="BB311" s="1"/>
  <c r="AF311"/>
  <c r="AM311"/>
  <c r="BC314"/>
  <c r="AQ314"/>
  <c r="BC318"/>
  <c r="AQ318"/>
  <c r="BC321"/>
  <c r="AQ321"/>
  <c r="BC325"/>
  <c r="AQ325"/>
  <c r="X221"/>
  <c r="Z221" s="1"/>
  <c r="X280"/>
  <c r="Z280" s="1"/>
  <c r="S280"/>
  <c r="X284"/>
  <c r="Z284" s="1"/>
  <c r="S284"/>
  <c r="AM294"/>
  <c r="AU294"/>
  <c r="BB294" s="1"/>
  <c r="AF294"/>
  <c r="AU297"/>
  <c r="BB297" s="1"/>
  <c r="AM297"/>
  <c r="AF297"/>
  <c r="BC299"/>
  <c r="AQ299"/>
  <c r="AU304"/>
  <c r="AF304"/>
  <c r="AM304"/>
  <c r="AU316"/>
  <c r="BB316" s="1"/>
  <c r="AF316"/>
  <c r="AM316"/>
  <c r="AU323"/>
  <c r="BB323" s="1"/>
  <c r="AF323"/>
  <c r="AM323"/>
  <c r="S215"/>
  <c r="S217"/>
  <c r="S219"/>
  <c r="S222"/>
  <c r="S227"/>
  <c r="S231"/>
  <c r="S233"/>
  <c r="S234"/>
  <c r="S241"/>
  <c r="S247"/>
  <c r="S248"/>
  <c r="S251"/>
  <c r="S253"/>
  <c r="S255"/>
  <c r="S256"/>
  <c r="S259"/>
  <c r="S260"/>
  <c r="S263"/>
  <c r="S267"/>
  <c r="S272"/>
  <c r="S274"/>
  <c r="S277"/>
  <c r="AM283"/>
  <c r="AM287"/>
  <c r="X298"/>
  <c r="Z298" s="1"/>
  <c r="S298"/>
  <c r="X300"/>
  <c r="Z300" s="1"/>
  <c r="S300"/>
  <c r="X303"/>
  <c r="Z303" s="1"/>
  <c r="S303"/>
  <c r="X306"/>
  <c r="Z306" s="1"/>
  <c r="S306"/>
  <c r="X307"/>
  <c r="Z307" s="1"/>
  <c r="S307"/>
  <c r="X308"/>
  <c r="Z308" s="1"/>
  <c r="S308"/>
  <c r="X309"/>
  <c r="Z309" s="1"/>
  <c r="S309"/>
  <c r="X310"/>
  <c r="Z310" s="1"/>
  <c r="S310"/>
  <c r="X315"/>
  <c r="Z315" s="1"/>
  <c r="S315"/>
  <c r="X322"/>
  <c r="Z322" s="1"/>
  <c r="S322"/>
  <c r="Z326"/>
  <c r="S326"/>
  <c r="S288"/>
  <c r="S290"/>
  <c r="S292"/>
  <c r="S295"/>
  <c r="AU299"/>
  <c r="BB299" s="1"/>
  <c r="AF299"/>
  <c r="AU302"/>
  <c r="BB302" s="1"/>
  <c r="AF302"/>
  <c r="AM305"/>
  <c r="BC305" s="1"/>
  <c r="AF305"/>
  <c r="X312"/>
  <c r="Z312" s="1"/>
  <c r="S312"/>
  <c r="X313"/>
  <c r="Z313" s="1"/>
  <c r="S313"/>
  <c r="AU314"/>
  <c r="BB314" s="1"/>
  <c r="AF314"/>
  <c r="X317"/>
  <c r="Z317" s="1"/>
  <c r="S317"/>
  <c r="AU318"/>
  <c r="BB318" s="1"/>
  <c r="AF318"/>
  <c r="AU321"/>
  <c r="BB321" s="1"/>
  <c r="AF321"/>
  <c r="X324"/>
  <c r="Z324" s="1"/>
  <c r="S324"/>
  <c r="AU325"/>
  <c r="BB325" s="1"/>
  <c r="AF325"/>
  <c r="BG307"/>
  <c r="BG308"/>
  <c r="BG309"/>
  <c r="BJ308" l="1"/>
  <c r="BI308"/>
  <c r="BJ309"/>
  <c r="BI309"/>
  <c r="T325"/>
  <c r="T302"/>
  <c r="T301"/>
  <c r="T297"/>
  <c r="T294"/>
  <c r="T278"/>
  <c r="T261"/>
  <c r="T239"/>
  <c r="T225"/>
  <c r="T218"/>
  <c r="T209"/>
  <c r="T89"/>
  <c r="T81"/>
  <c r="T77"/>
  <c r="T283"/>
  <c r="T276"/>
  <c r="T273"/>
  <c r="T257"/>
  <c r="T235"/>
  <c r="T220"/>
  <c r="T216"/>
  <c r="T204"/>
  <c r="T202"/>
  <c r="T199"/>
  <c r="T191"/>
  <c r="T184"/>
  <c r="T161"/>
  <c r="T104"/>
  <c r="T41"/>
  <c r="T31"/>
  <c r="T139"/>
  <c r="T85"/>
  <c r="T27"/>
  <c r="T293"/>
  <c r="T291"/>
  <c r="T289"/>
  <c r="T285"/>
  <c r="T281"/>
  <c r="T270"/>
  <c r="T265"/>
  <c r="T254"/>
  <c r="T252"/>
  <c r="T250"/>
  <c r="T243"/>
  <c r="T230"/>
  <c r="T226"/>
  <c r="T224"/>
  <c r="T214"/>
  <c r="T212"/>
  <c r="T211"/>
  <c r="T207"/>
  <c r="T200"/>
  <c r="T192"/>
  <c r="T187"/>
  <c r="T181"/>
  <c r="T179"/>
  <c r="T177"/>
  <c r="T162"/>
  <c r="T157"/>
  <c r="T154"/>
  <c r="BC154"/>
  <c r="AQ154"/>
  <c r="BC146"/>
  <c r="AQ146"/>
  <c r="BC139"/>
  <c r="AQ139"/>
  <c r="BC125"/>
  <c r="AQ125"/>
  <c r="BC119"/>
  <c r="AQ119"/>
  <c r="BC115"/>
  <c r="AQ115"/>
  <c r="BC92"/>
  <c r="AQ92"/>
  <c r="BC82"/>
  <c r="AQ82"/>
  <c r="BC72"/>
  <c r="AQ72"/>
  <c r="BC61"/>
  <c r="AQ61"/>
  <c r="BC54"/>
  <c r="AQ54"/>
  <c r="BC46"/>
  <c r="AQ46"/>
  <c r="AU44"/>
  <c r="BB44" s="1"/>
  <c r="AF44"/>
  <c r="AM44"/>
  <c r="BC28"/>
  <c r="AQ28"/>
  <c r="BC25"/>
  <c r="AQ25"/>
  <c r="BC21"/>
  <c r="AQ21"/>
  <c r="BC17"/>
  <c r="AQ17"/>
  <c r="BC120"/>
  <c r="AQ120"/>
  <c r="BC106"/>
  <c r="AQ106"/>
  <c r="BC102"/>
  <c r="AQ102"/>
  <c r="BC89"/>
  <c r="AQ89"/>
  <c r="BC81"/>
  <c r="AQ81"/>
  <c r="BC77"/>
  <c r="AQ77"/>
  <c r="BC55"/>
  <c r="AQ55"/>
  <c r="BC41"/>
  <c r="AQ41"/>
  <c r="BC31"/>
  <c r="AQ31"/>
  <c r="BC10"/>
  <c r="AQ10"/>
  <c r="Y324"/>
  <c r="AA324" s="1"/>
  <c r="AD324" s="1"/>
  <c r="T324"/>
  <c r="Y317"/>
  <c r="AA317" s="1"/>
  <c r="AD317" s="1"/>
  <c r="T317"/>
  <c r="Y313"/>
  <c r="AA313" s="1"/>
  <c r="AD313" s="1"/>
  <c r="T313"/>
  <c r="Y312"/>
  <c r="AA312" s="1"/>
  <c r="AD312" s="1"/>
  <c r="T312"/>
  <c r="AU327"/>
  <c r="Y292"/>
  <c r="AA292" s="1"/>
  <c r="AD292" s="1"/>
  <c r="T292"/>
  <c r="Y288"/>
  <c r="AA288" s="1"/>
  <c r="AD288" s="1"/>
  <c r="T288"/>
  <c r="BC283"/>
  <c r="AQ283"/>
  <c r="Y274"/>
  <c r="AA274" s="1"/>
  <c r="AD274" s="1"/>
  <c r="T274"/>
  <c r="Y267"/>
  <c r="AA267" s="1"/>
  <c r="AD267" s="1"/>
  <c r="T267"/>
  <c r="Y260"/>
  <c r="AA260" s="1"/>
  <c r="AD260" s="1"/>
  <c r="T260"/>
  <c r="Y256"/>
  <c r="AA256" s="1"/>
  <c r="AD256" s="1"/>
  <c r="T256"/>
  <c r="Y253"/>
  <c r="AA253" s="1"/>
  <c r="AD253" s="1"/>
  <c r="T253"/>
  <c r="Y248"/>
  <c r="AA248" s="1"/>
  <c r="AD248" s="1"/>
  <c r="T248"/>
  <c r="Y241"/>
  <c r="AA241" s="1"/>
  <c r="AD241" s="1"/>
  <c r="T241"/>
  <c r="Y233"/>
  <c r="AA233" s="1"/>
  <c r="AD233" s="1"/>
  <c r="T233"/>
  <c r="Y227"/>
  <c r="AA227" s="1"/>
  <c r="AD227" s="1"/>
  <c r="T227"/>
  <c r="Y219"/>
  <c r="AA219" s="1"/>
  <c r="AD219" s="1"/>
  <c r="T219"/>
  <c r="Y215"/>
  <c r="AA215" s="1"/>
  <c r="AD215" s="1"/>
  <c r="T215"/>
  <c r="BC316"/>
  <c r="AQ316"/>
  <c r="BG299"/>
  <c r="AS299"/>
  <c r="Y284"/>
  <c r="AA284" s="1"/>
  <c r="AD284" s="1"/>
  <c r="T284"/>
  <c r="Y280"/>
  <c r="AA280" s="1"/>
  <c r="AD280" s="1"/>
  <c r="T280"/>
  <c r="BG302"/>
  <c r="AS302"/>
  <c r="BC301"/>
  <c r="AQ301"/>
  <c r="BC291"/>
  <c r="AQ291"/>
  <c r="T286"/>
  <c r="Y286"/>
  <c r="AA286" s="1"/>
  <c r="AD286" s="1"/>
  <c r="T282"/>
  <c r="Y282"/>
  <c r="AA282" s="1"/>
  <c r="AD282" s="1"/>
  <c r="BC278"/>
  <c r="AQ278"/>
  <c r="AQ275"/>
  <c r="BC275"/>
  <c r="AW275"/>
  <c r="BB275" s="1"/>
  <c r="BC269"/>
  <c r="AQ269"/>
  <c r="BC257"/>
  <c r="AQ257"/>
  <c r="BC235"/>
  <c r="AQ235"/>
  <c r="BC225"/>
  <c r="AQ225"/>
  <c r="BC218"/>
  <c r="AQ218"/>
  <c r="Y210"/>
  <c r="AA210" s="1"/>
  <c r="AD210" s="1"/>
  <c r="T210"/>
  <c r="Y205"/>
  <c r="AA205" s="1"/>
  <c r="AD205" s="1"/>
  <c r="T205"/>
  <c r="Y196"/>
  <c r="AA196" s="1"/>
  <c r="AD196" s="1"/>
  <c r="T196"/>
  <c r="Y189"/>
  <c r="AA189" s="1"/>
  <c r="AD189" s="1"/>
  <c r="T189"/>
  <c r="Y183"/>
  <c r="AA183" s="1"/>
  <c r="AD183" s="1"/>
  <c r="T183"/>
  <c r="Y180"/>
  <c r="AA180" s="1"/>
  <c r="AD180" s="1"/>
  <c r="T180"/>
  <c r="Y176"/>
  <c r="AA176" s="1"/>
  <c r="AD176" s="1"/>
  <c r="T176"/>
  <c r="Y172"/>
  <c r="AA172" s="1"/>
  <c r="AD172" s="1"/>
  <c r="T172"/>
  <c r="Y166"/>
  <c r="AA166" s="1"/>
  <c r="AD166" s="1"/>
  <c r="T166"/>
  <c r="Y158"/>
  <c r="AA158" s="1"/>
  <c r="AD158" s="1"/>
  <c r="T158"/>
  <c r="Y151"/>
  <c r="AA151" s="1"/>
  <c r="AD151" s="1"/>
  <c r="T151"/>
  <c r="Y150"/>
  <c r="AA150" s="1"/>
  <c r="AD150" s="1"/>
  <c r="T150"/>
  <c r="Y143"/>
  <c r="AA143" s="1"/>
  <c r="AD143" s="1"/>
  <c r="T143"/>
  <c r="Y138"/>
  <c r="AA138" s="1"/>
  <c r="AD138" s="1"/>
  <c r="T138"/>
  <c r="Y135"/>
  <c r="AA135" s="1"/>
  <c r="AD135" s="1"/>
  <c r="T135"/>
  <c r="BC285"/>
  <c r="AQ285"/>
  <c r="BC270"/>
  <c r="AQ270"/>
  <c r="BC254"/>
  <c r="AQ254"/>
  <c r="BC250"/>
  <c r="AQ250"/>
  <c r="BC230"/>
  <c r="AQ230"/>
  <c r="BC224"/>
  <c r="AQ224"/>
  <c r="AU221"/>
  <c r="BB221" s="1"/>
  <c r="AF221"/>
  <c r="AM221"/>
  <c r="BC130"/>
  <c r="AQ130"/>
  <c r="Y122"/>
  <c r="AA122" s="1"/>
  <c r="AD122" s="1"/>
  <c r="T122"/>
  <c r="Y116"/>
  <c r="AA116" s="1"/>
  <c r="AD116" s="1"/>
  <c r="T116"/>
  <c r="Y111"/>
  <c r="AA111" s="1"/>
  <c r="AD111" s="1"/>
  <c r="T111"/>
  <c r="Y105"/>
  <c r="AA105" s="1"/>
  <c r="AD105" s="1"/>
  <c r="T105"/>
  <c r="Y101"/>
  <c r="AA101" s="1"/>
  <c r="AD101" s="1"/>
  <c r="T101"/>
  <c r="Y96"/>
  <c r="AA96" s="1"/>
  <c r="AD96" s="1"/>
  <c r="T96"/>
  <c r="Y90"/>
  <c r="AA90" s="1"/>
  <c r="AD90" s="1"/>
  <c r="T90"/>
  <c r="Y87"/>
  <c r="AA87" s="1"/>
  <c r="AD87" s="1"/>
  <c r="T87"/>
  <c r="Y83"/>
  <c r="AA83" s="1"/>
  <c r="AD83" s="1"/>
  <c r="T83"/>
  <c r="Y78"/>
  <c r="AA78" s="1"/>
  <c r="AD78" s="1"/>
  <c r="T78"/>
  <c r="Y73"/>
  <c r="AA73" s="1"/>
  <c r="AD73" s="1"/>
  <c r="T73"/>
  <c r="Y70"/>
  <c r="AA70" s="1"/>
  <c r="AD70" s="1"/>
  <c r="T70"/>
  <c r="Y68"/>
  <c r="AA68" s="1"/>
  <c r="AD68" s="1"/>
  <c r="T68"/>
  <c r="Y65"/>
  <c r="AA65" s="1"/>
  <c r="AD65" s="1"/>
  <c r="T65"/>
  <c r="Y62"/>
  <c r="AA62" s="1"/>
  <c r="AD62" s="1"/>
  <c r="T62"/>
  <c r="Y57"/>
  <c r="AA57" s="1"/>
  <c r="AD57" s="1"/>
  <c r="T57"/>
  <c r="Y51"/>
  <c r="AA51" s="1"/>
  <c r="AD51" s="1"/>
  <c r="T51"/>
  <c r="Y45"/>
  <c r="AA45" s="1"/>
  <c r="AD45" s="1"/>
  <c r="T45"/>
  <c r="Y38"/>
  <c r="AA38" s="1"/>
  <c r="AD38" s="1"/>
  <c r="T38"/>
  <c r="Y33"/>
  <c r="AA33" s="1"/>
  <c r="AD33" s="1"/>
  <c r="T33"/>
  <c r="Y26"/>
  <c r="AA26" s="1"/>
  <c r="AD26" s="1"/>
  <c r="T26"/>
  <c r="Y18"/>
  <c r="AA18" s="1"/>
  <c r="AD18" s="1"/>
  <c r="T18"/>
  <c r="Y13"/>
  <c r="AA13" s="1"/>
  <c r="AD13" s="1"/>
  <c r="T13"/>
  <c r="Y12"/>
  <c r="AA12" s="1"/>
  <c r="AD12" s="1"/>
  <c r="T12"/>
  <c r="AA8"/>
  <c r="BC204"/>
  <c r="AQ204"/>
  <c r="BC199"/>
  <c r="AQ199"/>
  <c r="BC184"/>
  <c r="AQ184"/>
  <c r="BC171"/>
  <c r="AQ171"/>
  <c r="BC161"/>
  <c r="AQ161"/>
  <c r="BC145"/>
  <c r="AQ145"/>
  <c r="BC136"/>
  <c r="AQ136"/>
  <c r="Y131"/>
  <c r="AA131" s="1"/>
  <c r="AD131" s="1"/>
  <c r="T131"/>
  <c r="BC214"/>
  <c r="AQ214"/>
  <c r="BG207"/>
  <c r="AS207"/>
  <c r="BJ207" s="1"/>
  <c r="BC200"/>
  <c r="AQ200"/>
  <c r="BC187"/>
  <c r="AQ187"/>
  <c r="BC179"/>
  <c r="AQ179"/>
  <c r="BC162"/>
  <c r="AQ162"/>
  <c r="Y295"/>
  <c r="AA295" s="1"/>
  <c r="AD295" s="1"/>
  <c r="T295"/>
  <c r="Y290"/>
  <c r="AA290" s="1"/>
  <c r="AD290" s="1"/>
  <c r="T290"/>
  <c r="T326"/>
  <c r="Y326"/>
  <c r="AA326" s="1"/>
  <c r="AD326" s="1"/>
  <c r="T322"/>
  <c r="Y322"/>
  <c r="AA322" s="1"/>
  <c r="AD322" s="1"/>
  <c r="T315"/>
  <c r="Y315"/>
  <c r="AA315" s="1"/>
  <c r="AD315" s="1"/>
  <c r="T310"/>
  <c r="Y310"/>
  <c r="AA310" s="1"/>
  <c r="AD310" s="1"/>
  <c r="T309"/>
  <c r="Y309"/>
  <c r="AA309" s="1"/>
  <c r="T308"/>
  <c r="Y308"/>
  <c r="AA308" s="1"/>
  <c r="T307"/>
  <c r="Y307"/>
  <c r="AA307" s="1"/>
  <c r="T306"/>
  <c r="Y306"/>
  <c r="AA306" s="1"/>
  <c r="T303"/>
  <c r="Y303"/>
  <c r="AA303" s="1"/>
  <c r="AD303" s="1"/>
  <c r="T300"/>
  <c r="Y300"/>
  <c r="AA300" s="1"/>
  <c r="AD300" s="1"/>
  <c r="T298"/>
  <c r="Y298"/>
  <c r="AA298" s="1"/>
  <c r="AD298" s="1"/>
  <c r="BC287"/>
  <c r="AQ287"/>
  <c r="Y277"/>
  <c r="AA277" s="1"/>
  <c r="AD277" s="1"/>
  <c r="T277"/>
  <c r="Y272"/>
  <c r="AA272" s="1"/>
  <c r="AD272" s="1"/>
  <c r="T272"/>
  <c r="Y263"/>
  <c r="AA263" s="1"/>
  <c r="AD263" s="1"/>
  <c r="T263"/>
  <c r="Y259"/>
  <c r="AA259" s="1"/>
  <c r="AD259" s="1"/>
  <c r="T259"/>
  <c r="Y255"/>
  <c r="AA255" s="1"/>
  <c r="AD255" s="1"/>
  <c r="T255"/>
  <c r="Y251"/>
  <c r="AA251" s="1"/>
  <c r="AD251" s="1"/>
  <c r="T251"/>
  <c r="Y247"/>
  <c r="AA247" s="1"/>
  <c r="AD247" s="1"/>
  <c r="T247"/>
  <c r="Y234"/>
  <c r="AA234" s="1"/>
  <c r="AD234" s="1"/>
  <c r="T234"/>
  <c r="Y231"/>
  <c r="AA231" s="1"/>
  <c r="AD231" s="1"/>
  <c r="T231"/>
  <c r="Y222"/>
  <c r="AA222" s="1"/>
  <c r="AD222" s="1"/>
  <c r="T222"/>
  <c r="Y217"/>
  <c r="AA217" s="1"/>
  <c r="AD217" s="1"/>
  <c r="T217"/>
  <c r="BC323"/>
  <c r="AQ323"/>
  <c r="AQ304"/>
  <c r="BC304"/>
  <c r="AU306"/>
  <c r="BB304"/>
  <c r="BC297"/>
  <c r="AQ297"/>
  <c r="BC294"/>
  <c r="AQ294"/>
  <c r="BG325"/>
  <c r="AS325"/>
  <c r="BG321"/>
  <c r="AS321"/>
  <c r="BG318"/>
  <c r="AS318"/>
  <c r="BG314"/>
  <c r="AS314"/>
  <c r="BC311"/>
  <c r="AQ311"/>
  <c r="BC293"/>
  <c r="AQ293"/>
  <c r="BC289"/>
  <c r="AQ289"/>
  <c r="BC276"/>
  <c r="AQ276"/>
  <c r="BC273"/>
  <c r="AQ273"/>
  <c r="BC261"/>
  <c r="AQ261"/>
  <c r="BC239"/>
  <c r="AQ239"/>
  <c r="BC220"/>
  <c r="AQ220"/>
  <c r="BC216"/>
  <c r="AQ216"/>
  <c r="Y195"/>
  <c r="AA195" s="1"/>
  <c r="AD195" s="1"/>
  <c r="T195"/>
  <c r="Y186"/>
  <c r="AA186" s="1"/>
  <c r="AD186" s="1"/>
  <c r="T186"/>
  <c r="Y182"/>
  <c r="AA182" s="1"/>
  <c r="AD182" s="1"/>
  <c r="T182"/>
  <c r="Y178"/>
  <c r="AA178" s="1"/>
  <c r="AD178" s="1"/>
  <c r="T178"/>
  <c r="X175"/>
  <c r="Z175" s="1"/>
  <c r="S175"/>
  <c r="R7"/>
  <c r="Y168"/>
  <c r="AA168" s="1"/>
  <c r="AD168" s="1"/>
  <c r="T168"/>
  <c r="Y159"/>
  <c r="AA159" s="1"/>
  <c r="AD159" s="1"/>
  <c r="T159"/>
  <c r="Y155"/>
  <c r="AA155" s="1"/>
  <c r="AD155" s="1"/>
  <c r="T155"/>
  <c r="Y147"/>
  <c r="AA147" s="1"/>
  <c r="AD147" s="1"/>
  <c r="T147"/>
  <c r="Y140"/>
  <c r="AA140" s="1"/>
  <c r="AD140" s="1"/>
  <c r="T140"/>
  <c r="T137"/>
  <c r="Y137"/>
  <c r="AA137" s="1"/>
  <c r="AD137" s="1"/>
  <c r="Y134"/>
  <c r="AA134" s="1"/>
  <c r="AD134" s="1"/>
  <c r="T134"/>
  <c r="BC281"/>
  <c r="AQ281"/>
  <c r="BC265"/>
  <c r="AQ265"/>
  <c r="BC252"/>
  <c r="AQ252"/>
  <c r="BC243"/>
  <c r="AQ243"/>
  <c r="BC226"/>
  <c r="AQ226"/>
  <c r="T213"/>
  <c r="Y213"/>
  <c r="AA213" s="1"/>
  <c r="AD213" s="1"/>
  <c r="T208"/>
  <c r="Y208"/>
  <c r="AA208" s="1"/>
  <c r="AD208" s="1"/>
  <c r="Y124"/>
  <c r="AA124" s="1"/>
  <c r="AD124" s="1"/>
  <c r="T124"/>
  <c r="Y118"/>
  <c r="AA118" s="1"/>
  <c r="AD118" s="1"/>
  <c r="T118"/>
  <c r="Y113"/>
  <c r="AA113" s="1"/>
  <c r="AD113" s="1"/>
  <c r="T113"/>
  <c r="Y107"/>
  <c r="AA107" s="1"/>
  <c r="AD107" s="1"/>
  <c r="T107"/>
  <c r="Y103"/>
  <c r="AA103" s="1"/>
  <c r="AD103" s="1"/>
  <c r="T103"/>
  <c r="Y98"/>
  <c r="AA98" s="1"/>
  <c r="AD98" s="1"/>
  <c r="T98"/>
  <c r="Y94"/>
  <c r="AA94" s="1"/>
  <c r="AD94" s="1"/>
  <c r="T94"/>
  <c r="Y84"/>
  <c r="AA84" s="1"/>
  <c r="AD84" s="1"/>
  <c r="T84"/>
  <c r="Y80"/>
  <c r="AA80" s="1"/>
  <c r="AD80" s="1"/>
  <c r="T80"/>
  <c r="Y76"/>
  <c r="AA76" s="1"/>
  <c r="AD76" s="1"/>
  <c r="T76"/>
  <c r="Y71"/>
  <c r="AA71" s="1"/>
  <c r="AD71" s="1"/>
  <c r="T71"/>
  <c r="Y69"/>
  <c r="AA69" s="1"/>
  <c r="AD69" s="1"/>
  <c r="T69"/>
  <c r="Y67"/>
  <c r="AA67" s="1"/>
  <c r="AD67" s="1"/>
  <c r="T67"/>
  <c r="Y63"/>
  <c r="AA63" s="1"/>
  <c r="AD63" s="1"/>
  <c r="T63"/>
  <c r="Y60"/>
  <c r="AA60" s="1"/>
  <c r="AD60" s="1"/>
  <c r="T60"/>
  <c r="Y53"/>
  <c r="AA53" s="1"/>
  <c r="AD53" s="1"/>
  <c r="T53"/>
  <c r="Y47"/>
  <c r="AA47" s="1"/>
  <c r="AD47" s="1"/>
  <c r="T47"/>
  <c r="Y42"/>
  <c r="AA42" s="1"/>
  <c r="AD42" s="1"/>
  <c r="T42"/>
  <c r="Y36"/>
  <c r="AA36" s="1"/>
  <c r="AD36" s="1"/>
  <c r="T36"/>
  <c r="Y30"/>
  <c r="AA30" s="1"/>
  <c r="AD30" s="1"/>
  <c r="T30"/>
  <c r="Y24"/>
  <c r="AA24" s="1"/>
  <c r="AD24" s="1"/>
  <c r="T24"/>
  <c r="Y20"/>
  <c r="AA20" s="1"/>
  <c r="AD20" s="1"/>
  <c r="T20"/>
  <c r="Y15"/>
  <c r="AA15" s="1"/>
  <c r="AD15" s="1"/>
  <c r="T15"/>
  <c r="Y9"/>
  <c r="AA9" s="1"/>
  <c r="AD9" s="1"/>
  <c r="T9"/>
  <c r="BC209"/>
  <c r="AQ209"/>
  <c r="BC202"/>
  <c r="AQ202"/>
  <c r="BC191"/>
  <c r="AQ191"/>
  <c r="BC173"/>
  <c r="AQ173"/>
  <c r="BC167"/>
  <c r="AQ167"/>
  <c r="BC149"/>
  <c r="AQ149"/>
  <c r="BC142"/>
  <c r="AQ142"/>
  <c r="BC133"/>
  <c r="AQ133"/>
  <c r="Z328"/>
  <c r="Z7"/>
  <c r="BC212"/>
  <c r="AQ212"/>
  <c r="BG211"/>
  <c r="AS211"/>
  <c r="BJ211" s="1"/>
  <c r="BC192"/>
  <c r="AQ192"/>
  <c r="BC181"/>
  <c r="AQ181"/>
  <c r="BC177"/>
  <c r="AQ177"/>
  <c r="BC157"/>
  <c r="AQ157"/>
  <c r="BC148"/>
  <c r="AQ148"/>
  <c r="BC141"/>
  <c r="AQ141"/>
  <c r="T129"/>
  <c r="Y129"/>
  <c r="AA129" s="1"/>
  <c r="AD129" s="1"/>
  <c r="BC123"/>
  <c r="AQ123"/>
  <c r="AU121"/>
  <c r="BB121" s="1"/>
  <c r="AF121"/>
  <c r="AM121"/>
  <c r="BC117"/>
  <c r="AQ117"/>
  <c r="BC112"/>
  <c r="AQ112"/>
  <c r="BC88"/>
  <c r="AQ88"/>
  <c r="BC74"/>
  <c r="AQ74"/>
  <c r="BC66"/>
  <c r="AQ66"/>
  <c r="BC64"/>
  <c r="AQ64"/>
  <c r="BC59"/>
  <c r="AQ59"/>
  <c r="BC48"/>
  <c r="AQ48"/>
  <c r="BC34"/>
  <c r="AQ34"/>
  <c r="BC27"/>
  <c r="AQ27"/>
  <c r="BC23"/>
  <c r="AQ23"/>
  <c r="BC19"/>
  <c r="AQ19"/>
  <c r="BC14"/>
  <c r="AQ14"/>
  <c r="BC109"/>
  <c r="AQ109"/>
  <c r="BC104"/>
  <c r="AQ104"/>
  <c r="BC93"/>
  <c r="AQ93"/>
  <c r="BC85"/>
  <c r="AQ85"/>
  <c r="BC79"/>
  <c r="AQ79"/>
  <c r="BC58"/>
  <c r="AQ58"/>
  <c r="BC43"/>
  <c r="AQ43"/>
  <c r="BC37"/>
  <c r="AQ37"/>
  <c r="BC11"/>
  <c r="AQ11"/>
  <c r="X328"/>
  <c r="S328"/>
  <c r="AD331" s="1"/>
  <c r="BJ302" l="1"/>
  <c r="BI302"/>
  <c r="BJ299"/>
  <c r="BI299"/>
  <c r="BJ314"/>
  <c r="BI314"/>
  <c r="BJ318"/>
  <c r="BI318"/>
  <c r="BJ321"/>
  <c r="BI321"/>
  <c r="BJ325"/>
  <c r="BI325"/>
  <c r="BB327"/>
  <c r="BG123"/>
  <c r="AS123"/>
  <c r="BJ123" s="1"/>
  <c r="AM129"/>
  <c r="AU129"/>
  <c r="BB129" s="1"/>
  <c r="AF129"/>
  <c r="BG141"/>
  <c r="AS141"/>
  <c r="BG148"/>
  <c r="AS148"/>
  <c r="BG157"/>
  <c r="AS157"/>
  <c r="BG177"/>
  <c r="BJ177"/>
  <c r="BG181"/>
  <c r="AS181"/>
  <c r="BG192"/>
  <c r="AS192"/>
  <c r="AS212"/>
  <c r="BJ212" s="1"/>
  <c r="BG212"/>
  <c r="BG133"/>
  <c r="AS133"/>
  <c r="BJ133" s="1"/>
  <c r="BG142"/>
  <c r="AS142"/>
  <c r="BG149"/>
  <c r="AS149"/>
  <c r="BG167"/>
  <c r="AS167"/>
  <c r="BG173"/>
  <c r="AS173"/>
  <c r="BJ173" s="1"/>
  <c r="BG191"/>
  <c r="AS191"/>
  <c r="BG202"/>
  <c r="AS202"/>
  <c r="BG209"/>
  <c r="AS209"/>
  <c r="BJ209" s="1"/>
  <c r="AM208"/>
  <c r="AU208"/>
  <c r="BB208" s="1"/>
  <c r="AF208"/>
  <c r="AM213"/>
  <c r="AU213"/>
  <c r="BB213" s="1"/>
  <c r="AF213"/>
  <c r="BG226"/>
  <c r="AS226"/>
  <c r="BJ226" s="1"/>
  <c r="BG243"/>
  <c r="AS243"/>
  <c r="BJ243" s="1"/>
  <c r="BG252"/>
  <c r="AS252"/>
  <c r="BJ252" s="1"/>
  <c r="BG265"/>
  <c r="AS265"/>
  <c r="BJ265" s="1"/>
  <c r="BG281"/>
  <c r="AS281"/>
  <c r="AM137"/>
  <c r="AU137"/>
  <c r="BB137" s="1"/>
  <c r="AF137"/>
  <c r="AU178"/>
  <c r="BB178" s="1"/>
  <c r="AF178"/>
  <c r="AM178"/>
  <c r="AM182"/>
  <c r="AU182"/>
  <c r="BB182" s="1"/>
  <c r="AF182"/>
  <c r="AU186"/>
  <c r="BB186" s="1"/>
  <c r="AF186"/>
  <c r="AM186"/>
  <c r="AM195"/>
  <c r="AU195"/>
  <c r="BB195" s="1"/>
  <c r="AF195"/>
  <c r="AD306"/>
  <c r="BB306"/>
  <c r="BG304"/>
  <c r="AS304"/>
  <c r="AM217"/>
  <c r="AU217"/>
  <c r="BB217" s="1"/>
  <c r="AF217"/>
  <c r="AM222"/>
  <c r="AU222"/>
  <c r="BB222" s="1"/>
  <c r="AF222"/>
  <c r="AM231"/>
  <c r="AU231"/>
  <c r="BB231" s="1"/>
  <c r="AF231"/>
  <c r="AM234"/>
  <c r="AU234"/>
  <c r="BB234" s="1"/>
  <c r="AF234"/>
  <c r="AU247"/>
  <c r="BB247" s="1"/>
  <c r="AF247"/>
  <c r="AM247"/>
  <c r="AM251"/>
  <c r="AU251"/>
  <c r="BB251" s="1"/>
  <c r="AF251"/>
  <c r="AU255"/>
  <c r="BB255" s="1"/>
  <c r="AF255"/>
  <c r="AM255"/>
  <c r="AU259"/>
  <c r="BB259" s="1"/>
  <c r="AF259"/>
  <c r="AM259"/>
  <c r="AM263"/>
  <c r="AU263"/>
  <c r="BB263" s="1"/>
  <c r="AF263"/>
  <c r="AM272"/>
  <c r="AU272"/>
  <c r="BB272" s="1"/>
  <c r="AF272"/>
  <c r="AM277"/>
  <c r="AU277"/>
  <c r="BB277" s="1"/>
  <c r="AF277"/>
  <c r="AU290"/>
  <c r="BB290" s="1"/>
  <c r="AF290"/>
  <c r="AM290"/>
  <c r="AU295"/>
  <c r="BB295" s="1"/>
  <c r="AF295"/>
  <c r="AM295"/>
  <c r="AM131"/>
  <c r="AU131"/>
  <c r="BB131" s="1"/>
  <c r="AF131"/>
  <c r="AD8"/>
  <c r="BG130"/>
  <c r="AS130"/>
  <c r="BJ130" s="1"/>
  <c r="BC221"/>
  <c r="AQ221"/>
  <c r="AU135"/>
  <c r="BB135" s="1"/>
  <c r="AF135"/>
  <c r="AM135"/>
  <c r="AU138"/>
  <c r="BB138" s="1"/>
  <c r="AF138"/>
  <c r="AM138"/>
  <c r="AU143"/>
  <c r="BB143" s="1"/>
  <c r="AF143"/>
  <c r="AM143"/>
  <c r="AU150"/>
  <c r="BB150" s="1"/>
  <c r="AF150"/>
  <c r="AM150"/>
  <c r="AM151"/>
  <c r="AF151"/>
  <c r="AU151"/>
  <c r="BB151" s="1"/>
  <c r="AM158"/>
  <c r="AU158"/>
  <c r="BB158" s="1"/>
  <c r="AF158"/>
  <c r="AU166"/>
  <c r="BB166" s="1"/>
  <c r="AF166"/>
  <c r="AM166"/>
  <c r="AU172"/>
  <c r="BB172" s="1"/>
  <c r="AF172"/>
  <c r="AM172"/>
  <c r="AU176"/>
  <c r="BB176" s="1"/>
  <c r="AF176"/>
  <c r="AM176"/>
  <c r="AU180"/>
  <c r="BB180" s="1"/>
  <c r="AF180"/>
  <c r="AM180"/>
  <c r="AU183"/>
  <c r="BB183" s="1"/>
  <c r="AF183"/>
  <c r="AM183"/>
  <c r="AU189"/>
  <c r="BB189" s="1"/>
  <c r="AF189"/>
  <c r="AM189"/>
  <c r="AU196"/>
  <c r="BB196" s="1"/>
  <c r="AF196"/>
  <c r="AM196"/>
  <c r="AM205"/>
  <c r="AU205"/>
  <c r="BB205" s="1"/>
  <c r="AF205"/>
  <c r="AM210"/>
  <c r="AU210"/>
  <c r="BB210" s="1"/>
  <c r="AF210"/>
  <c r="BG275"/>
  <c r="AS275"/>
  <c r="AM280"/>
  <c r="AU280"/>
  <c r="BB280" s="1"/>
  <c r="AF280"/>
  <c r="AM284"/>
  <c r="AU284"/>
  <c r="BB284" s="1"/>
  <c r="AF284"/>
  <c r="AM215"/>
  <c r="AU215"/>
  <c r="BB215" s="1"/>
  <c r="AF215"/>
  <c r="AM219"/>
  <c r="AU219"/>
  <c r="BB219" s="1"/>
  <c r="AF219"/>
  <c r="AM227"/>
  <c r="AU227"/>
  <c r="BB227" s="1"/>
  <c r="AF227"/>
  <c r="AU233"/>
  <c r="BB233" s="1"/>
  <c r="AF233"/>
  <c r="AM233"/>
  <c r="AM241"/>
  <c r="AU241"/>
  <c r="BB241" s="1"/>
  <c r="AF241"/>
  <c r="AM248"/>
  <c r="AU248"/>
  <c r="BB248" s="1"/>
  <c r="AF248"/>
  <c r="AM253"/>
  <c r="AU253"/>
  <c r="BB253" s="1"/>
  <c r="AF253"/>
  <c r="AM256"/>
  <c r="AU256"/>
  <c r="BB256" s="1"/>
  <c r="AF256"/>
  <c r="AM260"/>
  <c r="AU260"/>
  <c r="BB260" s="1"/>
  <c r="AF260"/>
  <c r="AM267"/>
  <c r="AU267"/>
  <c r="BB267" s="1"/>
  <c r="AF267"/>
  <c r="AM274"/>
  <c r="AU274"/>
  <c r="BB274" s="1"/>
  <c r="AF274"/>
  <c r="AU288"/>
  <c r="BB288" s="1"/>
  <c r="AF288"/>
  <c r="AM288"/>
  <c r="AU292"/>
  <c r="BB292" s="1"/>
  <c r="AF292"/>
  <c r="AM292"/>
  <c r="AU312"/>
  <c r="BB312" s="1"/>
  <c r="AF312"/>
  <c r="AM312"/>
  <c r="AM313"/>
  <c r="AU313"/>
  <c r="BB313" s="1"/>
  <c r="AF313"/>
  <c r="AM317"/>
  <c r="AU317"/>
  <c r="BB317" s="1"/>
  <c r="AF317"/>
  <c r="AM324"/>
  <c r="AU324"/>
  <c r="BB324" s="1"/>
  <c r="AF324"/>
  <c r="BG10"/>
  <c r="AS10"/>
  <c r="BG31"/>
  <c r="AS31"/>
  <c r="BJ31" s="1"/>
  <c r="BG41"/>
  <c r="AS41"/>
  <c r="BJ41" s="1"/>
  <c r="BG55"/>
  <c r="AS55"/>
  <c r="BJ55" s="1"/>
  <c r="BG77"/>
  <c r="AS77"/>
  <c r="BJ77" s="1"/>
  <c r="BG81"/>
  <c r="AS81"/>
  <c r="BJ81" s="1"/>
  <c r="AS89"/>
  <c r="BJ89" s="1"/>
  <c r="BG89"/>
  <c r="BG102"/>
  <c r="AS102"/>
  <c r="BJ102" s="1"/>
  <c r="BG106"/>
  <c r="AS106"/>
  <c r="BJ106" s="1"/>
  <c r="BG120"/>
  <c r="AS120"/>
  <c r="BJ120" s="1"/>
  <c r="BG17"/>
  <c r="AS17"/>
  <c r="BJ17" s="1"/>
  <c r="BG21"/>
  <c r="AS21"/>
  <c r="BJ21" s="1"/>
  <c r="BG25"/>
  <c r="AS25"/>
  <c r="BJ25" s="1"/>
  <c r="BG28"/>
  <c r="AS28"/>
  <c r="BJ28" s="1"/>
  <c r="BC44"/>
  <c r="AQ44"/>
  <c r="BG11"/>
  <c r="AS11"/>
  <c r="BJ11" s="1"/>
  <c r="BG37"/>
  <c r="AS37"/>
  <c r="BJ37" s="1"/>
  <c r="BG43"/>
  <c r="AS43"/>
  <c r="BJ43" s="1"/>
  <c r="BG58"/>
  <c r="AS58"/>
  <c r="BJ58" s="1"/>
  <c r="BG79"/>
  <c r="AS79"/>
  <c r="BJ79" s="1"/>
  <c r="BG85"/>
  <c r="AS85"/>
  <c r="BJ85" s="1"/>
  <c r="BG93"/>
  <c r="AS93"/>
  <c r="BJ93" s="1"/>
  <c r="BG104"/>
  <c r="AS104"/>
  <c r="BJ104" s="1"/>
  <c r="BG109"/>
  <c r="AS109"/>
  <c r="BJ109" s="1"/>
  <c r="BG14"/>
  <c r="AS14"/>
  <c r="BJ14" s="1"/>
  <c r="BG19"/>
  <c r="AS19"/>
  <c r="BJ19" s="1"/>
  <c r="BG23"/>
  <c r="AS23"/>
  <c r="BJ23" s="1"/>
  <c r="BG27"/>
  <c r="AS27"/>
  <c r="BJ27" s="1"/>
  <c r="BG34"/>
  <c r="AS34"/>
  <c r="BJ34" s="1"/>
  <c r="BG48"/>
  <c r="AS48"/>
  <c r="BJ48" s="1"/>
  <c r="BG59"/>
  <c r="AS59"/>
  <c r="BJ59" s="1"/>
  <c r="BG64"/>
  <c r="AS64"/>
  <c r="BJ64" s="1"/>
  <c r="AS66"/>
  <c r="BJ66" s="1"/>
  <c r="BG66"/>
  <c r="BG74"/>
  <c r="AS74"/>
  <c r="BJ74" s="1"/>
  <c r="BG88"/>
  <c r="AS88"/>
  <c r="BJ88" s="1"/>
  <c r="BG112"/>
  <c r="AS112"/>
  <c r="BJ112" s="1"/>
  <c r="BG117"/>
  <c r="AS117"/>
  <c r="BJ117" s="1"/>
  <c r="BC121"/>
  <c r="AQ121"/>
  <c r="AM9"/>
  <c r="AU9"/>
  <c r="BB9" s="1"/>
  <c r="AF9"/>
  <c r="AM15"/>
  <c r="AU15"/>
  <c r="BB15" s="1"/>
  <c r="AF15"/>
  <c r="AM20"/>
  <c r="AU20"/>
  <c r="BB20" s="1"/>
  <c r="AF20"/>
  <c r="AM24"/>
  <c r="AU24"/>
  <c r="BB24" s="1"/>
  <c r="AF24"/>
  <c r="AM30"/>
  <c r="AU30"/>
  <c r="BB30" s="1"/>
  <c r="AF30"/>
  <c r="AM36"/>
  <c r="AU36"/>
  <c r="BB36" s="1"/>
  <c r="AF36"/>
  <c r="AM42"/>
  <c r="AU42"/>
  <c r="BB42" s="1"/>
  <c r="AF42"/>
  <c r="AM47"/>
  <c r="AU47"/>
  <c r="BB47" s="1"/>
  <c r="AF47"/>
  <c r="AM53"/>
  <c r="AU53"/>
  <c r="BB53" s="1"/>
  <c r="AF53"/>
  <c r="AM60"/>
  <c r="AU60"/>
  <c r="BB60" s="1"/>
  <c r="AF60"/>
  <c r="AM63"/>
  <c r="AU63"/>
  <c r="BB63" s="1"/>
  <c r="AF63"/>
  <c r="AM67"/>
  <c r="AU67"/>
  <c r="BB67" s="1"/>
  <c r="AF67"/>
  <c r="AD335"/>
  <c r="AM69"/>
  <c r="AU69"/>
  <c r="BB69" s="1"/>
  <c r="AF69"/>
  <c r="AM71"/>
  <c r="AU71"/>
  <c r="BB71" s="1"/>
  <c r="AF71"/>
  <c r="AM76"/>
  <c r="AU76"/>
  <c r="BB76" s="1"/>
  <c r="AF76"/>
  <c r="AM80"/>
  <c r="AU80"/>
  <c r="BB80" s="1"/>
  <c r="AF80"/>
  <c r="AM84"/>
  <c r="AU84"/>
  <c r="BB84" s="1"/>
  <c r="AF84"/>
  <c r="AM94"/>
  <c r="AU94"/>
  <c r="BB94" s="1"/>
  <c r="AF94"/>
  <c r="AD333"/>
  <c r="AM98"/>
  <c r="AU98"/>
  <c r="BB98" s="1"/>
  <c r="AF98"/>
  <c r="AM103"/>
  <c r="AU103"/>
  <c r="BB103" s="1"/>
  <c r="AF103"/>
  <c r="AM107"/>
  <c r="AU107"/>
  <c r="BB107" s="1"/>
  <c r="AF107"/>
  <c r="AM113"/>
  <c r="AU113"/>
  <c r="BB113" s="1"/>
  <c r="AF113"/>
  <c r="AM118"/>
  <c r="AU118"/>
  <c r="BB118" s="1"/>
  <c r="AF118"/>
  <c r="AM124"/>
  <c r="AU124"/>
  <c r="BB124" s="1"/>
  <c r="AF124"/>
  <c r="AM134"/>
  <c r="AU134"/>
  <c r="BB134" s="1"/>
  <c r="AF134"/>
  <c r="AU140"/>
  <c r="BB140" s="1"/>
  <c r="AF140"/>
  <c r="AM140"/>
  <c r="AU147"/>
  <c r="BB147" s="1"/>
  <c r="AF147"/>
  <c r="AM147"/>
  <c r="AU155"/>
  <c r="BB155" s="1"/>
  <c r="AF155"/>
  <c r="AM155"/>
  <c r="AU159"/>
  <c r="BB159" s="1"/>
  <c r="AF159"/>
  <c r="AM159"/>
  <c r="AU168"/>
  <c r="BB168" s="1"/>
  <c r="AF168"/>
  <c r="AM168"/>
  <c r="Y175"/>
  <c r="AA175" s="1"/>
  <c r="AD175" s="1"/>
  <c r="T175"/>
  <c r="T7" s="1"/>
  <c r="BG216"/>
  <c r="AS216"/>
  <c r="BJ216" s="1"/>
  <c r="BG220"/>
  <c r="AS220"/>
  <c r="BJ220" s="1"/>
  <c r="BG239"/>
  <c r="AS239"/>
  <c r="BJ239" s="1"/>
  <c r="BG261"/>
  <c r="AS261"/>
  <c r="BJ261" s="1"/>
  <c r="BG273"/>
  <c r="AS273"/>
  <c r="BG276"/>
  <c r="AS276"/>
  <c r="BG289"/>
  <c r="AS289"/>
  <c r="BG293"/>
  <c r="AS293"/>
  <c r="BG311"/>
  <c r="AS311"/>
  <c r="BG294"/>
  <c r="AS294"/>
  <c r="BG297"/>
  <c r="AS297"/>
  <c r="BG323"/>
  <c r="AS323"/>
  <c r="BG287"/>
  <c r="AS287"/>
  <c r="AU298"/>
  <c r="BB298" s="1"/>
  <c r="AF298"/>
  <c r="AM298"/>
  <c r="AM300"/>
  <c r="AU300"/>
  <c r="BB300" s="1"/>
  <c r="AF300"/>
  <c r="AM303"/>
  <c r="AU303"/>
  <c r="BB303" s="1"/>
  <c r="AF303"/>
  <c r="AM310"/>
  <c r="AU310"/>
  <c r="BB310" s="1"/>
  <c r="AF310"/>
  <c r="AM315"/>
  <c r="AU315"/>
  <c r="BB315" s="1"/>
  <c r="AF315"/>
  <c r="AM322"/>
  <c r="AU322"/>
  <c r="BB322" s="1"/>
  <c r="AF322"/>
  <c r="AM326"/>
  <c r="AU326"/>
  <c r="BB326" s="1"/>
  <c r="AF326"/>
  <c r="BG162"/>
  <c r="AS162"/>
  <c r="BG179"/>
  <c r="AS179"/>
  <c r="BG187"/>
  <c r="AS187"/>
  <c r="BJ187" s="1"/>
  <c r="BG200"/>
  <c r="AS200"/>
  <c r="BG214"/>
  <c r="AS214"/>
  <c r="BJ214" s="1"/>
  <c r="BG136"/>
  <c r="AS136"/>
  <c r="BJ136" s="1"/>
  <c r="BG145"/>
  <c r="BJ145"/>
  <c r="BG161"/>
  <c r="AS161"/>
  <c r="BG171"/>
  <c r="AS171"/>
  <c r="BG184"/>
  <c r="AS184"/>
  <c r="BG199"/>
  <c r="AS199"/>
  <c r="BG204"/>
  <c r="AS204"/>
  <c r="BJ204" s="1"/>
  <c r="AU12"/>
  <c r="BB12" s="1"/>
  <c r="AF12"/>
  <c r="AM12"/>
  <c r="AM13"/>
  <c r="AU13"/>
  <c r="BB13" s="1"/>
  <c r="AF13"/>
  <c r="AM18"/>
  <c r="AU18"/>
  <c r="BB18" s="1"/>
  <c r="AF18"/>
  <c r="AM26"/>
  <c r="AU26"/>
  <c r="BB26" s="1"/>
  <c r="AF26"/>
  <c r="AM33"/>
  <c r="AU33"/>
  <c r="BB33" s="1"/>
  <c r="AF33"/>
  <c r="AM38"/>
  <c r="AU38"/>
  <c r="BB38" s="1"/>
  <c r="AF38"/>
  <c r="AM45"/>
  <c r="AU45"/>
  <c r="BB45" s="1"/>
  <c r="AF45"/>
  <c r="AM51"/>
  <c r="AU51"/>
  <c r="BB51" s="1"/>
  <c r="AF51"/>
  <c r="AM57"/>
  <c r="AU57"/>
  <c r="BB57" s="1"/>
  <c r="AF57"/>
  <c r="AU62"/>
  <c r="BB62" s="1"/>
  <c r="AF62"/>
  <c r="AM62"/>
  <c r="AM65"/>
  <c r="AU65"/>
  <c r="BB65" s="1"/>
  <c r="AF65"/>
  <c r="AM68"/>
  <c r="AU68"/>
  <c r="BB68" s="1"/>
  <c r="AF68"/>
  <c r="AM70"/>
  <c r="AU70"/>
  <c r="BB70" s="1"/>
  <c r="AF70"/>
  <c r="AM73"/>
  <c r="AU73"/>
  <c r="BB73" s="1"/>
  <c r="AF73"/>
  <c r="AM78"/>
  <c r="AU78"/>
  <c r="BB78" s="1"/>
  <c r="AF78"/>
  <c r="AU83"/>
  <c r="BB83" s="1"/>
  <c r="AF83"/>
  <c r="AM83"/>
  <c r="AM87"/>
  <c r="AU87"/>
  <c r="BB87" s="1"/>
  <c r="AF87"/>
  <c r="AM90"/>
  <c r="AU90"/>
  <c r="BB90" s="1"/>
  <c r="AF90"/>
  <c r="AM96"/>
  <c r="AU96"/>
  <c r="BB96" s="1"/>
  <c r="AF96"/>
  <c r="AM101"/>
  <c r="AU101"/>
  <c r="BB101" s="1"/>
  <c r="AF101"/>
  <c r="AM105"/>
  <c r="AU105"/>
  <c r="BB105" s="1"/>
  <c r="AF105"/>
  <c r="AM111"/>
  <c r="AU111"/>
  <c r="BB111" s="1"/>
  <c r="AF111"/>
  <c r="AM116"/>
  <c r="AU116"/>
  <c r="BB116" s="1"/>
  <c r="AF116"/>
  <c r="AM122"/>
  <c r="AU122"/>
  <c r="BB122" s="1"/>
  <c r="AF122"/>
  <c r="BG224"/>
  <c r="AS224"/>
  <c r="BJ224" s="1"/>
  <c r="BG230"/>
  <c r="AS230"/>
  <c r="BJ230" s="1"/>
  <c r="BG250"/>
  <c r="AS250"/>
  <c r="BJ250" s="1"/>
  <c r="BG254"/>
  <c r="AS254"/>
  <c r="BJ254" s="1"/>
  <c r="BG270"/>
  <c r="AS270"/>
  <c r="BG285"/>
  <c r="AS285"/>
  <c r="BG218"/>
  <c r="AS218"/>
  <c r="BJ218" s="1"/>
  <c r="BG225"/>
  <c r="AS225"/>
  <c r="BJ225" s="1"/>
  <c r="BG235"/>
  <c r="AS235"/>
  <c r="BJ235" s="1"/>
  <c r="BG257"/>
  <c r="AS257"/>
  <c r="BJ257" s="1"/>
  <c r="BG269"/>
  <c r="AS269"/>
  <c r="BG278"/>
  <c r="AS278"/>
  <c r="BJ278" s="1"/>
  <c r="AM282"/>
  <c r="AU282"/>
  <c r="BB282" s="1"/>
  <c r="AF282"/>
  <c r="AM286"/>
  <c r="AU286"/>
  <c r="BB286" s="1"/>
  <c r="AF286"/>
  <c r="BG291"/>
  <c r="AS291"/>
  <c r="BG301"/>
  <c r="AS301"/>
  <c r="BG316"/>
  <c r="AS316"/>
  <c r="BG283"/>
  <c r="AS283"/>
  <c r="BC327"/>
  <c r="BG46"/>
  <c r="AS46"/>
  <c r="BJ46" s="1"/>
  <c r="BG54"/>
  <c r="AS54"/>
  <c r="BJ54" s="1"/>
  <c r="BG61"/>
  <c r="AS61"/>
  <c r="BJ61" s="1"/>
  <c r="BG72"/>
  <c r="AS72"/>
  <c r="BJ72" s="1"/>
  <c r="BG82"/>
  <c r="AS82"/>
  <c r="BJ82" s="1"/>
  <c r="BG92"/>
  <c r="AS92"/>
  <c r="BJ92" s="1"/>
  <c r="BG115"/>
  <c r="AS115"/>
  <c r="BJ115" s="1"/>
  <c r="BG119"/>
  <c r="AS119"/>
  <c r="BJ119" s="1"/>
  <c r="BG125"/>
  <c r="AS125"/>
  <c r="BJ125" s="1"/>
  <c r="BG139"/>
  <c r="AS139"/>
  <c r="BG146"/>
  <c r="BJ146"/>
  <c r="BG154"/>
  <c r="AS154"/>
  <c r="Y7"/>
  <c r="Y328"/>
  <c r="X7"/>
  <c r="BJ202" l="1"/>
  <c r="BI202"/>
  <c r="BJ154"/>
  <c r="BI154"/>
  <c r="BJ139"/>
  <c r="BI139"/>
  <c r="BJ283"/>
  <c r="BI283"/>
  <c r="BJ316"/>
  <c r="BI316"/>
  <c r="BJ301"/>
  <c r="BI301"/>
  <c r="BJ269"/>
  <c r="BI269"/>
  <c r="BJ270"/>
  <c r="BI270"/>
  <c r="BJ199"/>
  <c r="BI199"/>
  <c r="BJ184"/>
  <c r="BI184"/>
  <c r="BJ171"/>
  <c r="BI171"/>
  <c r="BJ161"/>
  <c r="BI161"/>
  <c r="BJ200"/>
  <c r="BI200"/>
  <c r="BJ179"/>
  <c r="BI179"/>
  <c r="BJ162"/>
  <c r="BI162"/>
  <c r="BJ275"/>
  <c r="BI275"/>
  <c r="BJ304"/>
  <c r="BI304"/>
  <c r="BJ323"/>
  <c r="BI323"/>
  <c r="BJ297"/>
  <c r="BI297"/>
  <c r="BJ294"/>
  <c r="BI294"/>
  <c r="BJ311"/>
  <c r="BI311"/>
  <c r="BJ293"/>
  <c r="BI293"/>
  <c r="BJ276"/>
  <c r="BI276"/>
  <c r="BJ273"/>
  <c r="BI273"/>
  <c r="BJ281"/>
  <c r="BI281"/>
  <c r="BJ191"/>
  <c r="BI191"/>
  <c r="BJ167"/>
  <c r="BI167"/>
  <c r="BJ149"/>
  <c r="BI149"/>
  <c r="BJ142"/>
  <c r="BI142"/>
  <c r="BJ192"/>
  <c r="BI192"/>
  <c r="BJ181"/>
  <c r="BI181"/>
  <c r="BJ157"/>
  <c r="BI157"/>
  <c r="BJ148"/>
  <c r="BI148"/>
  <c r="BJ141"/>
  <c r="BI141"/>
  <c r="BJ291"/>
  <c r="BI291"/>
  <c r="BJ285"/>
  <c r="BI285"/>
  <c r="AU7"/>
  <c r="BJ287"/>
  <c r="BI287"/>
  <c r="BJ289"/>
  <c r="BI289"/>
  <c r="AU328"/>
  <c r="BB328"/>
  <c r="BB7"/>
  <c r="BC282"/>
  <c r="AQ282"/>
  <c r="BC116"/>
  <c r="AQ116"/>
  <c r="BC105"/>
  <c r="AQ105"/>
  <c r="BC96"/>
  <c r="AQ96"/>
  <c r="BC87"/>
  <c r="AQ87"/>
  <c r="BC78"/>
  <c r="AQ78"/>
  <c r="BC70"/>
  <c r="AQ70"/>
  <c r="BC65"/>
  <c r="AQ65"/>
  <c r="BC57"/>
  <c r="AQ57"/>
  <c r="BC45"/>
  <c r="AQ45"/>
  <c r="BC33"/>
  <c r="AQ33"/>
  <c r="BC18"/>
  <c r="AQ18"/>
  <c r="BC12"/>
  <c r="AQ12"/>
  <c r="BC322"/>
  <c r="AQ322"/>
  <c r="BC310"/>
  <c r="AQ310"/>
  <c r="BC300"/>
  <c r="AQ300"/>
  <c r="BC168"/>
  <c r="AQ168"/>
  <c r="BC155"/>
  <c r="AQ155"/>
  <c r="BC140"/>
  <c r="AQ140"/>
  <c r="BC124"/>
  <c r="AQ124"/>
  <c r="BC113"/>
  <c r="AQ113"/>
  <c r="BC103"/>
  <c r="AQ103"/>
  <c r="BC84"/>
  <c r="AQ84"/>
  <c r="BC76"/>
  <c r="AQ76"/>
  <c r="BC69"/>
  <c r="AQ69"/>
  <c r="BC67"/>
  <c r="AQ67"/>
  <c r="BC60"/>
  <c r="AQ60"/>
  <c r="BC47"/>
  <c r="AQ47"/>
  <c r="BC36"/>
  <c r="AQ36"/>
  <c r="BC24"/>
  <c r="AQ24"/>
  <c r="BC15"/>
  <c r="AQ15"/>
  <c r="BG121"/>
  <c r="AS121"/>
  <c r="BJ121" s="1"/>
  <c r="BG44"/>
  <c r="AS44"/>
  <c r="BJ44" s="1"/>
  <c r="BJ10"/>
  <c r="BL10"/>
  <c r="BC324"/>
  <c r="AQ324"/>
  <c r="BC313"/>
  <c r="AQ313"/>
  <c r="BC292"/>
  <c r="AQ292"/>
  <c r="BC274"/>
  <c r="AQ274"/>
  <c r="BC260"/>
  <c r="AQ260"/>
  <c r="BC253"/>
  <c r="AQ253"/>
  <c r="BC241"/>
  <c r="AQ241"/>
  <c r="BC227"/>
  <c r="AQ227"/>
  <c r="BC215"/>
  <c r="AQ215"/>
  <c r="BC280"/>
  <c r="AQ280"/>
  <c r="BC205"/>
  <c r="AQ205"/>
  <c r="BC189"/>
  <c r="AQ189"/>
  <c r="BC180"/>
  <c r="AQ180"/>
  <c r="BC172"/>
  <c r="AQ172"/>
  <c r="BC158"/>
  <c r="AQ158"/>
  <c r="AQ150"/>
  <c r="BC150"/>
  <c r="BC138"/>
  <c r="AQ138"/>
  <c r="BG221"/>
  <c r="AS221"/>
  <c r="BJ221" s="1"/>
  <c r="AD332"/>
  <c r="AD328"/>
  <c r="AU8"/>
  <c r="AF8"/>
  <c r="AM8"/>
  <c r="AD7"/>
  <c r="BC295"/>
  <c r="AQ295"/>
  <c r="BC277"/>
  <c r="AQ277"/>
  <c r="BC263"/>
  <c r="AQ263"/>
  <c r="BC255"/>
  <c r="AQ255"/>
  <c r="BC247"/>
  <c r="AQ247"/>
  <c r="BC231"/>
  <c r="AQ231"/>
  <c r="BC217"/>
  <c r="AQ217"/>
  <c r="AM306"/>
  <c r="BC306" s="1"/>
  <c r="AF306"/>
  <c r="AD334"/>
  <c r="BC186"/>
  <c r="AQ186"/>
  <c r="BC178"/>
  <c r="AQ178"/>
  <c r="BC213"/>
  <c r="AQ213"/>
  <c r="BC129"/>
  <c r="AQ129"/>
  <c r="AA328"/>
  <c r="T328"/>
  <c r="BG327"/>
  <c r="BC286"/>
  <c r="BC7" s="1"/>
  <c r="AQ286"/>
  <c r="BC122"/>
  <c r="AQ122"/>
  <c r="BC111"/>
  <c r="AQ111"/>
  <c r="BC101"/>
  <c r="AQ101"/>
  <c r="BC90"/>
  <c r="AQ90"/>
  <c r="BC83"/>
  <c r="AQ83"/>
  <c r="BC73"/>
  <c r="AQ73"/>
  <c r="BC68"/>
  <c r="AQ68"/>
  <c r="BC62"/>
  <c r="AQ62"/>
  <c r="BC51"/>
  <c r="AQ51"/>
  <c r="BC38"/>
  <c r="AQ38"/>
  <c r="BC26"/>
  <c r="AQ26"/>
  <c r="BC13"/>
  <c r="AQ13"/>
  <c r="BC326"/>
  <c r="AQ326"/>
  <c r="BC315"/>
  <c r="AQ315"/>
  <c r="BC303"/>
  <c r="AQ303"/>
  <c r="BC298"/>
  <c r="AQ298"/>
  <c r="AM175"/>
  <c r="AU175"/>
  <c r="BB175" s="1"/>
  <c r="AF175"/>
  <c r="BC159"/>
  <c r="AQ159"/>
  <c r="BC147"/>
  <c r="AQ147"/>
  <c r="BC134"/>
  <c r="AQ134"/>
  <c r="BC118"/>
  <c r="AQ118"/>
  <c r="BC107"/>
  <c r="AQ107"/>
  <c r="BC98"/>
  <c r="AQ98"/>
  <c r="BC94"/>
  <c r="AQ94"/>
  <c r="BC80"/>
  <c r="AQ80"/>
  <c r="BC71"/>
  <c r="AQ71"/>
  <c r="BC63"/>
  <c r="AQ63"/>
  <c r="BC53"/>
  <c r="AQ53"/>
  <c r="BC42"/>
  <c r="AQ42"/>
  <c r="BC30"/>
  <c r="AQ30"/>
  <c r="BC20"/>
  <c r="AQ20"/>
  <c r="BC9"/>
  <c r="AQ9"/>
  <c r="BC317"/>
  <c r="AQ317"/>
  <c r="BC312"/>
  <c r="AQ312"/>
  <c r="BC288"/>
  <c r="AQ288"/>
  <c r="BC267"/>
  <c r="AQ267"/>
  <c r="BC256"/>
  <c r="AQ256"/>
  <c r="BC248"/>
  <c r="AQ248"/>
  <c r="BC233"/>
  <c r="AQ233"/>
  <c r="BC219"/>
  <c r="AQ219"/>
  <c r="BC284"/>
  <c r="AQ284"/>
  <c r="BC210"/>
  <c r="AQ210"/>
  <c r="BC196"/>
  <c r="AQ196"/>
  <c r="BC183"/>
  <c r="AQ183"/>
  <c r="BC176"/>
  <c r="AQ176"/>
  <c r="BC166"/>
  <c r="AQ166"/>
  <c r="BC151"/>
  <c r="AQ151"/>
  <c r="BC143"/>
  <c r="AQ143"/>
  <c r="BC135"/>
  <c r="AQ135"/>
  <c r="BC131"/>
  <c r="AQ131"/>
  <c r="BC290"/>
  <c r="AQ290"/>
  <c r="BC272"/>
  <c r="AQ272"/>
  <c r="BC259"/>
  <c r="AQ259"/>
  <c r="BC251"/>
  <c r="AQ251"/>
  <c r="BC234"/>
  <c r="AQ234"/>
  <c r="BC222"/>
  <c r="AQ222"/>
  <c r="BC195"/>
  <c r="AQ195"/>
  <c r="BC182"/>
  <c r="AQ182"/>
  <c r="BC137"/>
  <c r="AQ137"/>
  <c r="BC208"/>
  <c r="AQ208"/>
  <c r="AA7"/>
  <c r="BJ327" l="1"/>
  <c r="BI327"/>
  <c r="BC328"/>
  <c r="BG298"/>
  <c r="AS298"/>
  <c r="BG303"/>
  <c r="AS303"/>
  <c r="BG315"/>
  <c r="AS315"/>
  <c r="BG326"/>
  <c r="AS326"/>
  <c r="BG13"/>
  <c r="AS13"/>
  <c r="BJ13" s="1"/>
  <c r="BG26"/>
  <c r="AS26"/>
  <c r="BJ26" s="1"/>
  <c r="BG38"/>
  <c r="AS38"/>
  <c r="BJ38" s="1"/>
  <c r="BG51"/>
  <c r="AS51"/>
  <c r="BJ51" s="1"/>
  <c r="BG62"/>
  <c r="AS62"/>
  <c r="BJ62" s="1"/>
  <c r="AS68"/>
  <c r="BJ68" s="1"/>
  <c r="BG68"/>
  <c r="BG73"/>
  <c r="AS73"/>
  <c r="BJ73" s="1"/>
  <c r="BG83"/>
  <c r="AS83"/>
  <c r="BJ83" s="1"/>
  <c r="BG90"/>
  <c r="AS90"/>
  <c r="BJ90" s="1"/>
  <c r="BG101"/>
  <c r="AS101"/>
  <c r="BJ101" s="1"/>
  <c r="BG111"/>
  <c r="AS111"/>
  <c r="BJ111" s="1"/>
  <c r="BG122"/>
  <c r="AS122"/>
  <c r="BJ122" s="1"/>
  <c r="BG286"/>
  <c r="AS286"/>
  <c r="BG129"/>
  <c r="AS129"/>
  <c r="BJ129" s="1"/>
  <c r="BG213"/>
  <c r="AS213"/>
  <c r="BJ213" s="1"/>
  <c r="BG178"/>
  <c r="AS178"/>
  <c r="BG186"/>
  <c r="AS186"/>
  <c r="BJ186" s="1"/>
  <c r="AM328"/>
  <c r="BC8"/>
  <c r="AQ8"/>
  <c r="AM7"/>
  <c r="BB8"/>
  <c r="BG150"/>
  <c r="AS150"/>
  <c r="AD336"/>
  <c r="BG208"/>
  <c r="AS208"/>
  <c r="BJ208" s="1"/>
  <c r="BG137"/>
  <c r="AS137"/>
  <c r="BG182"/>
  <c r="AS182"/>
  <c r="BG195"/>
  <c r="AS195"/>
  <c r="BG222"/>
  <c r="AS222"/>
  <c r="BJ222" s="1"/>
  <c r="BG234"/>
  <c r="AS234"/>
  <c r="BJ234" s="1"/>
  <c r="BG251"/>
  <c r="AS251"/>
  <c r="BJ251" s="1"/>
  <c r="BG259"/>
  <c r="AS259"/>
  <c r="BJ259" s="1"/>
  <c r="BG272"/>
  <c r="AS272"/>
  <c r="BG290"/>
  <c r="AS290"/>
  <c r="BG131"/>
  <c r="AS131"/>
  <c r="BJ131" s="1"/>
  <c r="BG135"/>
  <c r="AS135"/>
  <c r="BJ135" s="1"/>
  <c r="BG143"/>
  <c r="AS143"/>
  <c r="AS151"/>
  <c r="BG151"/>
  <c r="BG166"/>
  <c r="AS166"/>
  <c r="BG176"/>
  <c r="AS176"/>
  <c r="BG183"/>
  <c r="AS183"/>
  <c r="BG196"/>
  <c r="AS196"/>
  <c r="BG210"/>
  <c r="AS210"/>
  <c r="BJ210" s="1"/>
  <c r="BG284"/>
  <c r="AS284"/>
  <c r="BG219"/>
  <c r="AS219"/>
  <c r="BJ219" s="1"/>
  <c r="BG233"/>
  <c r="AS233"/>
  <c r="BJ233" s="1"/>
  <c r="BG248"/>
  <c r="AS248"/>
  <c r="BJ248" s="1"/>
  <c r="BG256"/>
  <c r="AS256"/>
  <c r="BJ256" s="1"/>
  <c r="BG267"/>
  <c r="AS267"/>
  <c r="BG288"/>
  <c r="AS288"/>
  <c r="BG312"/>
  <c r="AS312"/>
  <c r="BG317"/>
  <c r="AS317"/>
  <c r="BG9"/>
  <c r="AS9"/>
  <c r="BJ9" s="1"/>
  <c r="BG20"/>
  <c r="AS20"/>
  <c r="BJ20" s="1"/>
  <c r="BG30"/>
  <c r="AS30"/>
  <c r="BJ30" s="1"/>
  <c r="BG42"/>
  <c r="AS42"/>
  <c r="BJ42" s="1"/>
  <c r="BG53"/>
  <c r="AS53"/>
  <c r="BJ53" s="1"/>
  <c r="BG63"/>
  <c r="AS63"/>
  <c r="BJ63" s="1"/>
  <c r="BG71"/>
  <c r="AS71"/>
  <c r="BJ71" s="1"/>
  <c r="BG80"/>
  <c r="AS80"/>
  <c r="BJ80" s="1"/>
  <c r="BG94"/>
  <c r="AS94"/>
  <c r="BJ94" s="1"/>
  <c r="BG98"/>
  <c r="AS98"/>
  <c r="BJ98" s="1"/>
  <c r="BG107"/>
  <c r="AS107"/>
  <c r="BJ107" s="1"/>
  <c r="BG118"/>
  <c r="AS118"/>
  <c r="BJ118" s="1"/>
  <c r="BG134"/>
  <c r="AS134"/>
  <c r="BJ134" s="1"/>
  <c r="BG147"/>
  <c r="AS147"/>
  <c r="BG159"/>
  <c r="AS159"/>
  <c r="BC175"/>
  <c r="AQ175"/>
  <c r="BG217"/>
  <c r="AS217"/>
  <c r="BJ217" s="1"/>
  <c r="BG231"/>
  <c r="AS231"/>
  <c r="BJ231" s="1"/>
  <c r="BG247"/>
  <c r="AS247"/>
  <c r="BJ247" s="1"/>
  <c r="BG255"/>
  <c r="AS255"/>
  <c r="BJ255" s="1"/>
  <c r="BG263"/>
  <c r="AS263"/>
  <c r="BJ263" s="1"/>
  <c r="BG277"/>
  <c r="AS277"/>
  <c r="BG295"/>
  <c r="AS295"/>
  <c r="AF328"/>
  <c r="AF7"/>
  <c r="BG138"/>
  <c r="AS138"/>
  <c r="BG158"/>
  <c r="AS158"/>
  <c r="BG172"/>
  <c r="AS172"/>
  <c r="BJ172" s="1"/>
  <c r="BG180"/>
  <c r="AS180"/>
  <c r="BG189"/>
  <c r="AS189"/>
  <c r="BJ189" s="1"/>
  <c r="BG205"/>
  <c r="AS205"/>
  <c r="BJ205" s="1"/>
  <c r="BG280"/>
  <c r="BJ280"/>
  <c r="BG215"/>
  <c r="AS215"/>
  <c r="BJ215" s="1"/>
  <c r="BG227"/>
  <c r="AS227"/>
  <c r="BJ227" s="1"/>
  <c r="BG241"/>
  <c r="AS241"/>
  <c r="BJ241" s="1"/>
  <c r="BG253"/>
  <c r="AS253"/>
  <c r="BJ253" s="1"/>
  <c r="BG260"/>
  <c r="AS260"/>
  <c r="BJ260" s="1"/>
  <c r="BG274"/>
  <c r="AS274"/>
  <c r="BG292"/>
  <c r="AS292"/>
  <c r="BG313"/>
  <c r="AS313"/>
  <c r="BG324"/>
  <c r="AS324"/>
  <c r="BL328"/>
  <c r="BL7"/>
  <c r="BG15"/>
  <c r="AS15"/>
  <c r="BJ15" s="1"/>
  <c r="BG24"/>
  <c r="AS24"/>
  <c r="BJ24" s="1"/>
  <c r="BG36"/>
  <c r="AS36"/>
  <c r="BJ36" s="1"/>
  <c r="BG47"/>
  <c r="AS47"/>
  <c r="BJ47" s="1"/>
  <c r="BG60"/>
  <c r="AS60"/>
  <c r="BJ60" s="1"/>
  <c r="AS67"/>
  <c r="BJ67" s="1"/>
  <c r="BG67"/>
  <c r="AS69"/>
  <c r="BJ69" s="1"/>
  <c r="BG69"/>
  <c r="BG76"/>
  <c r="AS76"/>
  <c r="BJ76" s="1"/>
  <c r="BG84"/>
  <c r="AS84"/>
  <c r="BJ84" s="1"/>
  <c r="BG103"/>
  <c r="AS103"/>
  <c r="BJ103" s="1"/>
  <c r="BG113"/>
  <c r="AS113"/>
  <c r="BJ113" s="1"/>
  <c r="BG124"/>
  <c r="AS124"/>
  <c r="BJ124" s="1"/>
  <c r="BG140"/>
  <c r="AS140"/>
  <c r="BG155"/>
  <c r="AS155"/>
  <c r="BG168"/>
  <c r="AS168"/>
  <c r="BJ168" s="1"/>
  <c r="BG300"/>
  <c r="AS300"/>
  <c r="BG310"/>
  <c r="AS310"/>
  <c r="BG322"/>
  <c r="AS322"/>
  <c r="BG12"/>
  <c r="AS12"/>
  <c r="BJ12" s="1"/>
  <c r="BG18"/>
  <c r="AS18"/>
  <c r="BJ18" s="1"/>
  <c r="BG33"/>
  <c r="AS33"/>
  <c r="BJ33" s="1"/>
  <c r="BG45"/>
  <c r="AS45"/>
  <c r="BJ45" s="1"/>
  <c r="BG57"/>
  <c r="AS57"/>
  <c r="BJ57" s="1"/>
  <c r="BG65"/>
  <c r="AS65"/>
  <c r="BJ65" s="1"/>
  <c r="AS70"/>
  <c r="BJ70" s="1"/>
  <c r="BG70"/>
  <c r="BG78"/>
  <c r="AS78"/>
  <c r="BJ78" s="1"/>
  <c r="BG87"/>
  <c r="AS87"/>
  <c r="BJ87" s="1"/>
  <c r="BG96"/>
  <c r="AS96"/>
  <c r="BJ96" s="1"/>
  <c r="BG105"/>
  <c r="AS105"/>
  <c r="BJ105" s="1"/>
  <c r="BG116"/>
  <c r="AS116"/>
  <c r="BJ116" s="1"/>
  <c r="BG282"/>
  <c r="AS282"/>
  <c r="BG7" l="1"/>
  <c r="BG328"/>
  <c r="BJ282"/>
  <c r="BI282"/>
  <c r="BJ322"/>
  <c r="BI322"/>
  <c r="BJ310"/>
  <c r="BI310"/>
  <c r="BJ300"/>
  <c r="BI300"/>
  <c r="BJ155"/>
  <c r="BI155"/>
  <c r="BJ140"/>
  <c r="BI140"/>
  <c r="BJ324"/>
  <c r="BI324"/>
  <c r="BJ313"/>
  <c r="BI313"/>
  <c r="BJ274"/>
  <c r="BI274"/>
  <c r="BJ180"/>
  <c r="BI180"/>
  <c r="BJ158"/>
  <c r="BI158"/>
  <c r="BJ138"/>
  <c r="BI138"/>
  <c r="BJ295"/>
  <c r="BI295"/>
  <c r="BJ277"/>
  <c r="BI277"/>
  <c r="BJ159"/>
  <c r="BI159"/>
  <c r="BJ147"/>
  <c r="BI147"/>
  <c r="BJ317"/>
  <c r="BI317"/>
  <c r="BJ312"/>
  <c r="BI312"/>
  <c r="BJ267"/>
  <c r="BI267"/>
  <c r="BJ284"/>
  <c r="BI284"/>
  <c r="BJ196"/>
  <c r="BI196"/>
  <c r="BJ183"/>
  <c r="BI183"/>
  <c r="BJ176"/>
  <c r="BI176"/>
  <c r="BJ166"/>
  <c r="BI166"/>
  <c r="BJ143"/>
  <c r="BI143"/>
  <c r="BJ272"/>
  <c r="BI272"/>
  <c r="BJ195"/>
  <c r="BI195"/>
  <c r="BJ182"/>
  <c r="BI182"/>
  <c r="BJ137"/>
  <c r="BI137"/>
  <c r="BJ178"/>
  <c r="BI178"/>
  <c r="BJ326"/>
  <c r="BI326"/>
  <c r="BJ315"/>
  <c r="BI315"/>
  <c r="BJ303"/>
  <c r="BI303"/>
  <c r="BJ298"/>
  <c r="BI298"/>
  <c r="BJ151"/>
  <c r="BI151"/>
  <c r="BJ150"/>
  <c r="BI150"/>
  <c r="BJ292"/>
  <c r="BI292"/>
  <c r="BJ288"/>
  <c r="BI288"/>
  <c r="BJ290"/>
  <c r="BI290"/>
  <c r="BJ286"/>
  <c r="BI286"/>
  <c r="AQ328"/>
  <c r="AQ7"/>
  <c r="BG8"/>
  <c r="AS8"/>
  <c r="BG175"/>
  <c r="AS175"/>
  <c r="BJ175" l="1"/>
  <c r="BI175"/>
  <c r="BI328"/>
  <c r="BI7"/>
  <c r="AS328"/>
  <c r="BJ8"/>
  <c r="AS7"/>
  <c r="BJ328" l="1"/>
  <c r="BJ7"/>
</calcChain>
</file>

<file path=xl/comments1.xml><?xml version="1.0" encoding="utf-8"?>
<comments xmlns="http://schemas.openxmlformats.org/spreadsheetml/2006/main">
  <authors>
    <author>Надежда Ю. Созинова</author>
  </authors>
  <commentList>
    <comment ref="AA148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35376,1 перенесен на Адышево
</t>
        </r>
      </text>
    </comment>
    <comment ref="AA182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25254,4 перенесен на Адышево
</t>
        </r>
      </text>
    </comment>
    <comment ref="AA255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56875,88 перенесен на Адышево
 </t>
        </r>
      </text>
    </comment>
    <comment ref="AA259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56875,88 перенесен на Адышево
</t>
        </r>
      </text>
    </comment>
    <comment ref="AA269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перенесен на Адышево
</t>
        </r>
      </text>
    </comment>
    <comment ref="AA293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532354,75 перенесен на Адышево
</t>
        </r>
      </text>
    </comment>
  </commentList>
</comments>
</file>

<file path=xl/sharedStrings.xml><?xml version="1.0" encoding="utf-8"?>
<sst xmlns="http://schemas.openxmlformats.org/spreadsheetml/2006/main" count="1611" uniqueCount="477">
  <si>
    <t>Расчет лимита льготного краткосрочного кредита заемщикам, претендующим на получение льготного краткосрочного кредита в 2019 году</t>
  </si>
  <si>
    <t>ключ.ст.7,5%</t>
  </si>
  <si>
    <t>№ п/п</t>
  </si>
  <si>
    <t>Наименование заемщика</t>
  </si>
  <si>
    <t>ИНН заемщика</t>
  </si>
  <si>
    <t>Направление  использования кредита</t>
  </si>
  <si>
    <t>Относится к малым формам (да /нет)</t>
  </si>
  <si>
    <t>Выручка, тыс. руб.</t>
  </si>
  <si>
    <t>Общая посевная площадь</t>
  </si>
  <si>
    <t>Планируемый месяц получения кредита</t>
  </si>
  <si>
    <t>Скорректированный месяц получения кредита</t>
  </si>
  <si>
    <t>Сумма льготного краткосрочного кредита, заявленная в Прогнозе на 2019 год, руб.</t>
  </si>
  <si>
    <t>уточнение кол-ва месяцев</t>
  </si>
  <si>
    <t>Требуемая сумма субсидий по заявленным льготным краткосрочным кредитам, руб.</t>
  </si>
  <si>
    <t>Сумма льготного краткосрочного кредита относительно Плана льготного кредитования 950863310/158019206,25=0,606656…. И затем поститали в каком размере мы можем выдать кредит каждому заемщику в пределах Плана льготного кредитования, тоесть 2 355 160 179,03</t>
  </si>
  <si>
    <t>Лимит субсидий, установленный Планом льготного  кредитования МСХ РФ (без кредитов, принятых к субсидированию в 2018 году) на 17.01.2019, руб.</t>
  </si>
  <si>
    <t>Недостающая сумма лимита субсидий, установленного Планом МСХ РФ к требуемой сумме субсидий, руб.</t>
  </si>
  <si>
    <t>Коэффициент корректировки лимита субсидий, установленного Планом льготного  кредитования МСХ РФ к требуемой сумме субсидий по заявленным льготным краткосрочным кредитам, руб.</t>
  </si>
  <si>
    <t>Январь кредит. Кредиты одобренные комиссией в январе</t>
  </si>
  <si>
    <t>Использовано субсидий в январе (протокол от 28.01.2019)</t>
  </si>
  <si>
    <t>Лимит льготного краткосрочного кредита (максимальная сумма) по заемщикам Кировской области, претендующим на получение льготного краткосрочного кредита в 2019 году с учетом коэффициента корректировки, руб.(2 335 160 179,03-643240000=1 711 920 179,03)</t>
  </si>
  <si>
    <r>
      <t xml:space="preserve">Сумма субсидии по заемщикам Кировской области, претендующим на получение льготного краткосрочного кредита в 2019 году с учетом коэффициента корректировки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руб.(95 863 310-37 351 540=58511770)</t>
    </r>
  </si>
  <si>
    <r>
      <t xml:space="preserve">Максимальная сумма кредита по заемщикам,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</t>
    </r>
  </si>
  <si>
    <t>Максимальная сумма субсидий по заемщикам с учетом коэффициента корректировки на 2019 год, руб.</t>
  </si>
  <si>
    <t>Использовано субсидий в феврале (протокол от 11.02.2019)</t>
  </si>
  <si>
    <t>Использовано субсидий в феврале (протокол от 25.02.2019)</t>
  </si>
  <si>
    <t>Остаток суммы субсидии по заемщикам на 01.04.2019 год, руб.</t>
  </si>
  <si>
    <t>Остаток суммы кредита по заемщикам на 2019 год,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</si>
  <si>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марте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</si>
  <si>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Использовано субсидий (протокол от 01.04.2019)</t>
  </si>
  <si>
    <t>ОТКАЗ от получения льготного кредита в сумме субсидий, рублей</t>
  </si>
  <si>
    <t>Использовано субсидий (протокол от 08.04.2019)</t>
  </si>
  <si>
    <t>Использовано субсидий (протокол от 15.04.2019)</t>
  </si>
  <si>
    <t>Использовано субсидий (протокол от 22.04.2019)</t>
  </si>
  <si>
    <t>Использовано субсидий (протокол от 29.04.2019)</t>
  </si>
  <si>
    <t>Остаток субсидии  на 01.05.2019</t>
  </si>
  <si>
    <t>Использовано субсидий (протокол от 06.05.2019)</t>
  </si>
  <si>
    <t>Использовано субсидий (протокол от 20.05.2019)</t>
  </si>
  <si>
    <t>Использовано субсидий (протокол от27.05.2019)</t>
  </si>
  <si>
    <t>Остаток сумм субсидии по заемщикам на 01.06.2019, руб.</t>
  </si>
  <si>
    <t>протокол от 24.06.2019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</si>
  <si>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апреле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</si>
  <si>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Выбрано кредитов (протокол от 01.04.2019)</t>
  </si>
  <si>
    <t>ОТКАЗ от получения льготного кредита, рублей</t>
  </si>
  <si>
    <t>Выбрано кредитов (протокол от 08.04.2019)</t>
  </si>
  <si>
    <t>Выбрано кредитов (протокол от 15.04.2019)</t>
  </si>
  <si>
    <t>Выбрано кредитов (протокол от 22.04.2019)</t>
  </si>
  <si>
    <t>Выбрано кредитов (протокол от 29.04.2019)</t>
  </si>
  <si>
    <t>Остаток максимальной суммы кредита по заемщикам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</si>
  <si>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мае </t>
    </r>
    <r>
      <rPr>
        <sz val="10"/>
        <color indexed="8"/>
        <rFont val="Times New Roman"/>
        <family val="1"/>
        <charset val="204"/>
      </rPr>
      <t>2019 года, руб.</t>
    </r>
  </si>
  <si>
    <t>Выбрано кредитов (протокол от 06.05.2019)</t>
  </si>
  <si>
    <t>Выбрано кредитов (протокол от 20.05.2019)</t>
  </si>
  <si>
    <t>Выбрано кредитов (протокол от 27.05.2019)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</si>
  <si>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июне </t>
    </r>
    <r>
      <rPr>
        <sz val="10"/>
        <color indexed="8"/>
        <rFont val="Times New Roman"/>
        <family val="1"/>
        <charset val="204"/>
      </rPr>
      <t>2019 года, руб.</t>
    </r>
  </si>
  <si>
    <t>Выбрано кредитов (протокол от 24.06.2019)</t>
  </si>
  <si>
    <t>Потребность в сумме кредита</t>
  </si>
  <si>
    <t>3</t>
  </si>
  <si>
    <t>скрыто</t>
  </si>
  <si>
    <t>9=7-8</t>
  </si>
  <si>
    <t>10=8/7</t>
  </si>
  <si>
    <t>ск</t>
  </si>
  <si>
    <t>Х</t>
  </si>
  <si>
    <t>СПК "Нива"</t>
  </si>
  <si>
    <t>4301002231</t>
  </si>
  <si>
    <t>растениеводство</t>
  </si>
  <si>
    <t>да</t>
  </si>
  <si>
    <t>июнь</t>
  </si>
  <si>
    <t>ООО "СХП "Родина"</t>
  </si>
  <si>
    <t>4301002305</t>
  </si>
  <si>
    <t>4301002306</t>
  </si>
  <si>
    <t>ООО "СХП "Виктория"</t>
  </si>
  <si>
    <t>4301002312</t>
  </si>
  <si>
    <t>РСХБ</t>
  </si>
  <si>
    <t>МФХ</t>
  </si>
  <si>
    <t>ОАО "Агрофирма "Гордино"</t>
  </si>
  <si>
    <t>4302002058</t>
  </si>
  <si>
    <t xml:space="preserve">молочное скотоводство </t>
  </si>
  <si>
    <t>СХА "Роза ветров"</t>
  </si>
  <si>
    <t>4302001921</t>
  </si>
  <si>
    <t>РСХБ доп</t>
  </si>
  <si>
    <t>СПК Восход</t>
  </si>
  <si>
    <t>4303000991</t>
  </si>
  <si>
    <t>СПК "Быданово</t>
  </si>
  <si>
    <t>4303003992</t>
  </si>
  <si>
    <t>3 кв</t>
  </si>
  <si>
    <t>СПК "Луч"</t>
  </si>
  <si>
    <t>4303004019</t>
  </si>
  <si>
    <t>ООО "Суворовское"</t>
  </si>
  <si>
    <t>4303004499</t>
  </si>
  <si>
    <t>октябрь</t>
  </si>
  <si>
    <t>СХПК им.Кирова</t>
  </si>
  <si>
    <t>430300920</t>
  </si>
  <si>
    <t>Индивидуальный предприниматель Глава крестьянского (фермерского) хозяйства Кутявин Павел Владимирович</t>
  </si>
  <si>
    <t>430400047645</t>
  </si>
  <si>
    <t>май</t>
  </si>
  <si>
    <t>ЗАО "Агрофирма Среднеивкино"</t>
  </si>
  <si>
    <t>4306000319</t>
  </si>
  <si>
    <t>Растениеводство</t>
  </si>
  <si>
    <t>нет</t>
  </si>
  <si>
    <t>СБЕРБАНК</t>
  </si>
  <si>
    <t>СПК "Угор"</t>
  </si>
  <si>
    <t>4306002789</t>
  </si>
  <si>
    <t>июль</t>
  </si>
  <si>
    <t>СПК "Звезда"</t>
  </si>
  <si>
    <t>4306002820</t>
  </si>
  <si>
    <t>ООО "СХП "Пунгино"</t>
  </si>
  <si>
    <t>4306003359</t>
  </si>
  <si>
    <t>ИП Окунев А.Н., глава КФХ</t>
  </si>
  <si>
    <t>430600743752</t>
  </si>
  <si>
    <t>ОАО "Вятско-Полянская птицефабрика"</t>
  </si>
  <si>
    <t>4307003680</t>
  </si>
  <si>
    <t>животноводство</t>
  </si>
  <si>
    <t>РСХБ высвоб 156 166,37</t>
  </si>
  <si>
    <t>ООО "Согласие-2"</t>
  </si>
  <si>
    <t>4307005197</t>
  </si>
  <si>
    <t>ИП Медведева Г. А -глава КФХ</t>
  </si>
  <si>
    <t>430700726101</t>
  </si>
  <si>
    <t>апрель</t>
  </si>
  <si>
    <t>ООО "Русь"</t>
  </si>
  <si>
    <t>4307007733</t>
  </si>
  <si>
    <t>молочное скотоводство</t>
  </si>
  <si>
    <t>ООО "АПК "Союз"</t>
  </si>
  <si>
    <t>4307012290</t>
  </si>
  <si>
    <t>ООО "Родина-2"</t>
  </si>
  <si>
    <t>4307018213</t>
  </si>
  <si>
    <t>АПК Союз за Родину</t>
  </si>
  <si>
    <t>ИП глава КФХ Скурихин Юрий Александрович</t>
  </si>
  <si>
    <t>430800243010</t>
  </si>
  <si>
    <t>отказался</t>
  </si>
  <si>
    <t>Сельскохозяйственный производственный кооператив-колхоз "Коммунизм"</t>
  </si>
  <si>
    <t>43081000642</t>
  </si>
  <si>
    <t>менее 70%,лесом занимаются</t>
  </si>
  <si>
    <t>СПК Племенной завод "Новый"</t>
  </si>
  <si>
    <t>4309000733</t>
  </si>
  <si>
    <t>СПК племзавод "Соколовка"</t>
  </si>
  <si>
    <t>4309003131</t>
  </si>
  <si>
    <t>лист ожид через прогр Минпромторг РСХБ</t>
  </si>
  <si>
    <t>ОАО "Племзавод Мухинский"</t>
  </si>
  <si>
    <t>4309004456</t>
  </si>
  <si>
    <t>ООО "Агрофирма "Мухино"</t>
  </si>
  <si>
    <t>4309006365</t>
  </si>
  <si>
    <t>молочно</t>
  </si>
  <si>
    <t>ИП, глава К(Ф)Х Чернышева Ирина Васильевна</t>
  </si>
  <si>
    <t>430901465562</t>
  </si>
  <si>
    <t>ИП, глава К(Ф)Х Дерендяева Татьяна Михайловна</t>
  </si>
  <si>
    <t>430900073379</t>
  </si>
  <si>
    <t>февраль</t>
  </si>
  <si>
    <t>СХА (колхоз)  «Надежда»</t>
  </si>
  <si>
    <t>4310000618</t>
  </si>
  <si>
    <t>август</t>
  </si>
  <si>
    <t>ООО «Вихаревский»</t>
  </si>
  <si>
    <t>4310033910</t>
  </si>
  <si>
    <t>СПК-колхоз «Заря»</t>
  </si>
  <si>
    <t>4310033934</t>
  </si>
  <si>
    <t>ООО Кировкая молочная компания</t>
  </si>
  <si>
    <t>4312021130</t>
  </si>
  <si>
    <t>ООО Кировская молочная компания</t>
  </si>
  <si>
    <t>РСХБ доп надо 640455,02</t>
  </si>
  <si>
    <t>СПК "Конып"</t>
  </si>
  <si>
    <t>4312025015</t>
  </si>
  <si>
    <t>РСХБ разница доп 200232,17</t>
  </si>
  <si>
    <t>ООО «Агрофирма «Чуваши»</t>
  </si>
  <si>
    <t>4312042109</t>
  </si>
  <si>
    <t>ООО "Агрофирма "Кстинино"</t>
  </si>
  <si>
    <t>4312042116</t>
  </si>
  <si>
    <t>ООО СХП "ПОЛОМСКОЕ"</t>
  </si>
  <si>
    <t>4312145337</t>
  </si>
  <si>
    <t xml:space="preserve">выбрали полностью </t>
  </si>
  <si>
    <t>СПК колхоз "Искра"</t>
  </si>
  <si>
    <t>4313000060</t>
  </si>
  <si>
    <t>4кв</t>
  </si>
  <si>
    <t>СПК колхоз "Колос"</t>
  </si>
  <si>
    <t>4313001120</t>
  </si>
  <si>
    <t xml:space="preserve">  </t>
  </si>
  <si>
    <t>Ип (Глава КФХ) Савков Никита Валерьевич</t>
  </si>
  <si>
    <t>431300147670</t>
  </si>
  <si>
    <t>ОАО "Янтарь"</t>
  </si>
  <si>
    <t>4313003261</t>
  </si>
  <si>
    <t>ООО Агрофирма колхоз "Путь Ленина"</t>
  </si>
  <si>
    <t>4313009601</t>
  </si>
  <si>
    <t>молочн</t>
  </si>
  <si>
    <t>СПК  "Знамя Ленина"</t>
  </si>
  <si>
    <t>4314000231</t>
  </si>
  <si>
    <t>СПК "Красное Знамя"</t>
  </si>
  <si>
    <t>4314000369</t>
  </si>
  <si>
    <t>уточн.молочн.скотов</t>
  </si>
  <si>
    <t>растен</t>
  </si>
  <si>
    <t>СПК "Березниковский"</t>
  </si>
  <si>
    <t>4314000626</t>
  </si>
  <si>
    <t>ОАО "Вожгальский маслодельно-сыродельный завод"</t>
  </si>
  <si>
    <t>4314001235</t>
  </si>
  <si>
    <t>4314001236</t>
  </si>
  <si>
    <t>4314001237</t>
  </si>
  <si>
    <t>ООО "Верхобыстрица"</t>
  </si>
  <si>
    <t>4314004148</t>
  </si>
  <si>
    <t>ЗАО племзавод "Октябрьский"</t>
  </si>
  <si>
    <t>4314004250</t>
  </si>
  <si>
    <t>планировали в сент15</t>
  </si>
  <si>
    <t>9 ВТБ</t>
  </si>
  <si>
    <t>в окт 6</t>
  </si>
  <si>
    <t>ноябрь</t>
  </si>
  <si>
    <t>СПК племзавод "Красный Октябрь"</t>
  </si>
  <si>
    <t>431400721</t>
  </si>
  <si>
    <t>КФХ "Лада"</t>
  </si>
  <si>
    <t>4315000065</t>
  </si>
  <si>
    <t>КФХ "Исток"</t>
  </si>
  <si>
    <t>4315000629</t>
  </si>
  <si>
    <t>КФХ "Надежда"</t>
  </si>
  <si>
    <t>4315001157</t>
  </si>
  <si>
    <t>ООО "Лебяжское"</t>
  </si>
  <si>
    <t>4315007247</t>
  </si>
  <si>
    <t>ИП ГКФХ Алембаев Валерий Алексеевич</t>
  </si>
  <si>
    <t>431500902908</t>
  </si>
  <si>
    <t>взял в Хлынов</t>
  </si>
  <si>
    <t>СПК СА (колхоз) «Гигант»</t>
  </si>
  <si>
    <t>4317000487</t>
  </si>
  <si>
    <t>СПК СА (колхоз) имени Мичурина</t>
  </si>
  <si>
    <t>4317000712</t>
  </si>
  <si>
    <t>СПК СА (колхоз) «Зерновой»</t>
  </si>
  <si>
    <t>4317000800</t>
  </si>
  <si>
    <t>4317004770</t>
  </si>
  <si>
    <t>4317004876</t>
  </si>
  <si>
    <t>раст</t>
  </si>
  <si>
    <t>4317005005</t>
  </si>
  <si>
    <t>4317005076</t>
  </si>
  <si>
    <t>отказывались устно</t>
  </si>
  <si>
    <t>ООО « Заря»</t>
  </si>
  <si>
    <t>4317005171</t>
  </si>
  <si>
    <t>СПК (колхоз) "Заря"</t>
  </si>
  <si>
    <t>4319000059</t>
  </si>
  <si>
    <t>ООО "Природа-Агро"</t>
  </si>
  <si>
    <t>4320003015</t>
  </si>
  <si>
    <t>АО "Агрофирма "Немский"</t>
  </si>
  <si>
    <t>4320003054</t>
  </si>
  <si>
    <t>СХА колхоз «Ерёминский»</t>
  </si>
  <si>
    <t>4321000257</t>
  </si>
  <si>
    <t>СХА колхоз «Восход»</t>
  </si>
  <si>
    <t>4321000391</t>
  </si>
  <si>
    <t>взяли больше</t>
  </si>
  <si>
    <t>ООО "Шварихинский"</t>
  </si>
  <si>
    <t>4321007245</t>
  </si>
  <si>
    <t>уточнили молочн.скотов</t>
  </si>
  <si>
    <t>май 4тыс.</t>
  </si>
  <si>
    <t>3кв.4тыс, 4кв.4тыс</t>
  </si>
  <si>
    <t>СПК колхоз «Ленинец»</t>
  </si>
  <si>
    <t>4321000666</t>
  </si>
  <si>
    <t>взяли 1 млн, планировали 4</t>
  </si>
  <si>
    <t>4321000667</t>
  </si>
  <si>
    <t>ООО «Майский»</t>
  </si>
  <si>
    <t>4321019321</t>
  </si>
  <si>
    <t>432200039217</t>
  </si>
  <si>
    <t>ООО "Омутнинское рыбное хозяйство"</t>
  </si>
  <si>
    <t>4322010233</t>
  </si>
  <si>
    <t>ООО "АГРОФИРМА "КОРШИК"</t>
  </si>
  <si>
    <t>4324000760</t>
  </si>
  <si>
    <t>СПК племзавод "Гарский"</t>
  </si>
  <si>
    <t>4324000985</t>
  </si>
  <si>
    <t>ООО «Агрофирма «Адышево»</t>
  </si>
  <si>
    <t>4324007525</t>
  </si>
  <si>
    <t>июнь-сент</t>
  </si>
  <si>
    <t>из 40 выбрали 38</t>
  </si>
  <si>
    <t>ООО «Племзавод «Луговой»</t>
  </si>
  <si>
    <t>4324007532</t>
  </si>
  <si>
    <t>ООО "Вятский сельхозпроизводитель"</t>
  </si>
  <si>
    <t>4324008631</t>
  </si>
  <si>
    <t>уточн животнов</t>
  </si>
  <si>
    <t>план8 взяли 3,14</t>
  </si>
  <si>
    <t>СПК "Пустоши"</t>
  </si>
  <si>
    <t>4324002990</t>
  </si>
  <si>
    <t>ООО "Агрохолдинг Усовы"</t>
  </si>
  <si>
    <t>4324008159</t>
  </si>
  <si>
    <t>АО "Лактис"</t>
  </si>
  <si>
    <t>4325000106</t>
  </si>
  <si>
    <t>из 40 взяли 20</t>
  </si>
  <si>
    <t xml:space="preserve">СПК - колхоз "Ленинец" </t>
  </si>
  <si>
    <t>4325000177</t>
  </si>
  <si>
    <t>РХБ</t>
  </si>
  <si>
    <t>СХПК СА (колхоз) "Ошаевский"</t>
  </si>
  <si>
    <t>4325000280</t>
  </si>
  <si>
    <t>РСХБ высвоб 36 773,77</t>
  </si>
  <si>
    <t>АО "Ижевское"</t>
  </si>
  <si>
    <t>4325002946</t>
  </si>
  <si>
    <t>Нновгород РСХБ на 5 мес</t>
  </si>
  <si>
    <t>АО "Ахмановское"</t>
  </si>
  <si>
    <t>4325003019</t>
  </si>
  <si>
    <t>????</t>
  </si>
  <si>
    <t>ООО СХП "Сретенское"</t>
  </si>
  <si>
    <t>4325003114</t>
  </si>
  <si>
    <t>СПК "Маяк"</t>
  </si>
  <si>
    <t>4326001159</t>
  </si>
  <si>
    <t>план</t>
  </si>
  <si>
    <t>ООО "Подосиновский агрокомплекс"</t>
  </si>
  <si>
    <t>4326999882</t>
  </si>
  <si>
    <t>СХПК колхоз Заозерский</t>
  </si>
  <si>
    <t>4327000180</t>
  </si>
  <si>
    <t>сентябрь доп</t>
  </si>
  <si>
    <t>ОАО Санчурский маслозавод</t>
  </si>
  <si>
    <t>4327000302</t>
  </si>
  <si>
    <t>уточнено молочное скотоводство</t>
  </si>
  <si>
    <t>ООО Рассвет</t>
  </si>
  <si>
    <t>4327003230</t>
  </si>
  <si>
    <t>Животноводство</t>
  </si>
  <si>
    <t>Шах молоко просили на 2 кв 15млн</t>
  </si>
  <si>
    <t xml:space="preserve">СБЕРБАНК </t>
  </si>
  <si>
    <t>ООО "Октябрьское"</t>
  </si>
  <si>
    <t>4328002510</t>
  </si>
  <si>
    <t>ИП глава К(Ф)Х Азизов Рафик Кязым оглы ликвид</t>
  </si>
  <si>
    <t>43280093408</t>
  </si>
  <si>
    <t>ликвидирован</t>
  </si>
  <si>
    <t>СПК "Лекминский"</t>
  </si>
  <si>
    <t>4329000650</t>
  </si>
  <si>
    <t>развитие растениеводства</t>
  </si>
  <si>
    <t>СПК "Красная Талица"</t>
  </si>
  <si>
    <t>4329004510</t>
  </si>
  <si>
    <t>Май 5 млн</t>
  </si>
  <si>
    <t>Июнь 5 млн</t>
  </si>
  <si>
    <t>ООО "Зверохозяйство "Вятка"</t>
  </si>
  <si>
    <t>4329008459</t>
  </si>
  <si>
    <t>развитие животноводства</t>
  </si>
  <si>
    <t>ООО "Агрофирма "Бобино-М"</t>
  </si>
  <si>
    <t>4329013466</t>
  </si>
  <si>
    <t>СХПК-СА (колхоз) "Лошкаринский"</t>
  </si>
  <si>
    <t>4330000655</t>
  </si>
  <si>
    <t>ООО "Советская агрофирма"</t>
  </si>
  <si>
    <t>4330004233</t>
  </si>
  <si>
    <t>животнов</t>
  </si>
  <si>
    <t>ООО "Агрофирма Надежда"</t>
  </si>
  <si>
    <t>4330004554</t>
  </si>
  <si>
    <t>77????</t>
  </si>
  <si>
    <t xml:space="preserve">растн </t>
  </si>
  <si>
    <t>АО "Мокинское"</t>
  </si>
  <si>
    <t>4330004586</t>
  </si>
  <si>
    <t>уточн растен</t>
  </si>
  <si>
    <t>АО "Русь"</t>
  </si>
  <si>
    <t>4330005244</t>
  </si>
  <si>
    <t>СБЕРБАНК заявка</t>
  </si>
  <si>
    <t>заявка в сб/б растен</t>
  </si>
  <si>
    <t>сейчас заявка в Сб/б мол.ск</t>
  </si>
  <si>
    <t>АО "Прогресс"</t>
  </si>
  <si>
    <t>4330005886</t>
  </si>
  <si>
    <t>ООО "Торговый Дом Агро"</t>
  </si>
  <si>
    <t>4330007266</t>
  </si>
  <si>
    <t>апрель-май</t>
  </si>
  <si>
    <t>ООО "Агрохолдинг"</t>
  </si>
  <si>
    <t>4330007393</t>
  </si>
  <si>
    <t>ИП Глушков Сергей Аркадьевич, глава К(Ф)Х</t>
  </si>
  <si>
    <t>433002063957</t>
  </si>
  <si>
    <t>ПСПК «Краснопольский»</t>
  </si>
  <si>
    <t>4331000023</t>
  </si>
  <si>
    <t>СПК (колхоз) «Сунский»</t>
  </si>
  <si>
    <t>4331000030</t>
  </si>
  <si>
    <t>СПК колхоз «Плельский»</t>
  </si>
  <si>
    <t>4331000136</t>
  </si>
  <si>
    <t>СПК колхоз «Большевик»</t>
  </si>
  <si>
    <t>4331000577</t>
  </si>
  <si>
    <t>ООО «Курчумское»</t>
  </si>
  <si>
    <t>4331002736</t>
  </si>
  <si>
    <t>ИП глава КФХ Кислицын  Олег Васильевич</t>
  </si>
  <si>
    <t>433200017663</t>
  </si>
  <si>
    <t>ИП глава КФХ Клепцов Владимир Александрович</t>
  </si>
  <si>
    <t>433200157205</t>
  </si>
  <si>
    <t>СПК колхоз "Новый"</t>
  </si>
  <si>
    <t>4332002489</t>
  </si>
  <si>
    <t>СХА (колхоз) "Грековский"</t>
  </si>
  <si>
    <t>4332006194</t>
  </si>
  <si>
    <t>план Ударник</t>
  </si>
  <si>
    <t>4332006195</t>
  </si>
  <si>
    <t>ООО "СХП "Колос"</t>
  </si>
  <si>
    <t>4332006388</t>
  </si>
  <si>
    <t>СПК "Земледелец"</t>
  </si>
  <si>
    <t>4333002682</t>
  </si>
  <si>
    <t>ООО "СХП "Елгань"</t>
  </si>
  <si>
    <t>4333004320</t>
  </si>
  <si>
    <t>ООО "Дружба"</t>
  </si>
  <si>
    <t>4334005189</t>
  </si>
  <si>
    <t>апр</t>
  </si>
  <si>
    <t>РСХБ доп 25290,58</t>
  </si>
  <si>
    <t>ООО "Пригородное"</t>
  </si>
  <si>
    <t>4334006224</t>
  </si>
  <si>
    <t>ООО "Агрофирма Строитель</t>
  </si>
  <si>
    <t>4334008253</t>
  </si>
  <si>
    <t>ООО имени Кирова</t>
  </si>
  <si>
    <t>4334008630</t>
  </si>
  <si>
    <t>4334007348</t>
  </si>
  <si>
    <t>СПК- колхоз имени Ленина</t>
  </si>
  <si>
    <t>4335000264</t>
  </si>
  <si>
    <t>СПК колхоз имени Свердлова</t>
  </si>
  <si>
    <t>4335000289</t>
  </si>
  <si>
    <t>АО «имени Кирова»</t>
  </si>
  <si>
    <t>4335003603</t>
  </si>
  <si>
    <t>ООО «СПП-Верхосунское»</t>
  </si>
  <si>
    <t>4335003716</t>
  </si>
  <si>
    <t>Индивидуальный предприниматель глава крестьянского (фермерского) хозяйства Лекомцев Павел Анатольевич</t>
  </si>
  <si>
    <t>433500689120</t>
  </si>
  <si>
    <t>Индивидуальный предприниматель глава крестьянского (фермерского) хозяйства Ефремов Александр Юрьевич</t>
  </si>
  <si>
    <t>433500905099</t>
  </si>
  <si>
    <t>ИП глава КФХ Русаков Сергей Вениаминович</t>
  </si>
  <si>
    <t>433600117077</t>
  </si>
  <si>
    <t>СХЗАО "Тохтинское"</t>
  </si>
  <si>
    <t>4336001694</t>
  </si>
  <si>
    <t>РСХБ заявка</t>
  </si>
  <si>
    <t>ООО Агрофирма "Пригородная"</t>
  </si>
  <si>
    <t>4336003405</t>
  </si>
  <si>
    <t>ООО Агрофирма "Новый путь"</t>
  </si>
  <si>
    <t>4336003451</t>
  </si>
  <si>
    <t>ООО "Кленовицкое"</t>
  </si>
  <si>
    <t>4336003518</t>
  </si>
  <si>
    <t>ООО Агрофирма "Чудиновская"</t>
  </si>
  <si>
    <t>4336003772</t>
  </si>
  <si>
    <t>Общество с ограниченной ответственностью "СЕЛЬСКОХОЗЯЙСТВЕННОЕ ПРЕДПРИЯТИЕ "ВЫСОКОГОРСКИЙ"</t>
  </si>
  <si>
    <t>4337004634</t>
  </si>
  <si>
    <t>01.0М</t>
  </si>
  <si>
    <t>ООО  "АПК "Архангельское"</t>
  </si>
  <si>
    <t>4337004803</t>
  </si>
  <si>
    <t>ООО "Агрофирма Подгорцы"</t>
  </si>
  <si>
    <t>4338007740</t>
  </si>
  <si>
    <t>4338007741</t>
  </si>
  <si>
    <t>ООО "Новомедянское"</t>
  </si>
  <si>
    <t>4338009674</t>
  </si>
  <si>
    <t>КФХ Лукоянова Юрия Витальевича</t>
  </si>
  <si>
    <t>4339001195</t>
  </si>
  <si>
    <t>ООО "Луч"</t>
  </si>
  <si>
    <t>4339005930</t>
  </si>
  <si>
    <t>СПССК "Южный"</t>
  </si>
  <si>
    <t>4339008627</t>
  </si>
  <si>
    <t>ООО "Льнозавод Знаменский"</t>
  </si>
  <si>
    <t>4339009155</t>
  </si>
  <si>
    <t>ООО "Шалагинское"</t>
  </si>
  <si>
    <t>4339009268</t>
  </si>
  <si>
    <t>ИП глава КФХ Казаков Игорь Николаевич</t>
  </si>
  <si>
    <t>433901050926</t>
  </si>
  <si>
    <t>ИП глава КФХ Вершинин Олег Васильевич</t>
  </si>
  <si>
    <t>433901465328</t>
  </si>
  <si>
    <t>ИП глава КФХ Шестаков Владимир Николаевич</t>
  </si>
  <si>
    <t>433902567114</t>
  </si>
  <si>
    <t>АО "Кировский мясокомбинат"</t>
  </si>
  <si>
    <t>4345000217</t>
  </si>
  <si>
    <t>ЗАО "Кировский молочный комбинат"</t>
  </si>
  <si>
    <t>4345000295</t>
  </si>
  <si>
    <t>ООО АПК Мечта</t>
  </si>
  <si>
    <t>4345315792</t>
  </si>
  <si>
    <t>АО "Агрофирма "Дороничи"</t>
  </si>
  <si>
    <t>4346000273</t>
  </si>
  <si>
    <t>ЗАО "Агрокомбинат племзавод "Красногорский"</t>
  </si>
  <si>
    <t>4347004464</t>
  </si>
  <si>
    <t>подал заявкуВТБ</t>
  </si>
  <si>
    <t>план ВТБ</t>
  </si>
  <si>
    <t xml:space="preserve"> ОАО СХП «Кировское»</t>
  </si>
  <si>
    <t>4347006292</t>
  </si>
  <si>
    <t>из 25 взяли 7,09</t>
  </si>
  <si>
    <t>ЗАО «Заречье»</t>
  </si>
  <si>
    <t>4348000230</t>
  </si>
  <si>
    <t>потребность +</t>
  </si>
  <si>
    <t>остаток потребности</t>
  </si>
  <si>
    <t>остаток</t>
  </si>
  <si>
    <t>освоено за апрель</t>
  </si>
  <si>
    <t>остаток на 29.05</t>
  </si>
  <si>
    <t>высвобождение</t>
  </si>
  <si>
    <t>мфх</t>
  </si>
  <si>
    <t>в т.ч направлен</t>
  </si>
  <si>
    <t>жив</t>
  </si>
  <si>
    <t>молочн скотов</t>
  </si>
  <si>
    <t>мол.ск.</t>
  </si>
  <si>
    <t>Остаток сумм субсидии по заемщикам на 2019 год, руб.</t>
  </si>
  <si>
    <t>Высвободившаяся сумма субсидии по состоянию на 01.07.2019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</si>
  <si>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>в июле 2019 года</t>
    </r>
    <r>
      <rPr>
        <sz val="10"/>
        <color indexed="8"/>
        <rFont val="Times New Roman"/>
        <family val="1"/>
        <charset val="204"/>
      </rPr>
      <t xml:space="preserve"> (на 4 месяца) с учетом Прогноза на 2019 год, руб.</t>
    </r>
  </si>
  <si>
    <t xml:space="preserve">взято </t>
  </si>
  <si>
    <t>ОАО Агрофирма «Калинино»</t>
  </si>
  <si>
    <t>ООО Агрофирма «Савали»</t>
  </si>
  <si>
    <t>ООО Агрофирма «Малмыж»</t>
  </si>
  <si>
    <t>АО Агрофирма «Смаиль»</t>
  </si>
  <si>
    <t>ИП, глава К(Ф)Х Медведева Елена Александровна</t>
  </si>
  <si>
    <t>ВЫСВОБ</t>
  </si>
  <si>
    <t>скр</t>
  </si>
  <si>
    <t>Остаток сумм субсидии по заемщикам на 2019 год без перерасчета на высвобождение,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</si>
  <si>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июле </t>
    </r>
    <r>
      <rPr>
        <sz val="10"/>
        <color indexed="8"/>
        <rFont val="Times New Roman"/>
        <family val="1"/>
        <charset val="204"/>
      </rPr>
      <t>2019 года (на 4 месяца) от расчетного объема субсидии, руб.</t>
    </r>
  </si>
  <si>
    <t>по состоянию на 01.07.2019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</si>
</sst>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#,##0.00_ ;[Red]\-#,##0.00\ "/>
    <numFmt numFmtId="165" formatCode="#,##0.0000_ ;[Red]\-#,##0.0000\ "/>
    <numFmt numFmtId="166" formatCode="[$-419]mmmm\ yyyy;@"/>
    <numFmt numFmtId="167" formatCode="#,##0.000000000000000_ ;[Red]\-#,##0.000000000000000\ "/>
    <numFmt numFmtId="168" formatCode="_-* #,##0.00_р_._-;\-* #,##0.00_р_._-;_-* &quot;-&quot;??_р_._-;_-@_-"/>
    <numFmt numFmtId="169" formatCode="#,##0.00_ ;\-#,##0.00\ 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8"/>
      <name val="Arial"/>
      <family val="2"/>
      <charset val="204"/>
    </font>
    <font>
      <sz val="8"/>
      <color rgb="FF0000FF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32">
    <xf numFmtId="0" fontId="0" fillId="0" borderId="0" xfId="0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Alignment="1"/>
    <xf numFmtId="0" fontId="4" fillId="0" borderId="0" xfId="0" applyFont="1" applyFill="1"/>
    <xf numFmtId="164" fontId="3" fillId="0" borderId="0" xfId="0" applyNumberFormat="1" applyFont="1" applyFill="1"/>
    <xf numFmtId="164" fontId="3" fillId="2" borderId="0" xfId="0" applyNumberFormat="1" applyFont="1" applyFill="1"/>
    <xf numFmtId="164" fontId="3" fillId="3" borderId="0" xfId="0" applyNumberFormat="1" applyFont="1" applyFill="1"/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wrapText="1"/>
    </xf>
    <xf numFmtId="164" fontId="7" fillId="0" borderId="3" xfId="0" applyNumberFormat="1" applyFont="1" applyFill="1" applyBorder="1" applyAlignment="1">
      <alignment wrapText="1"/>
    </xf>
    <xf numFmtId="164" fontId="4" fillId="0" borderId="3" xfId="0" applyNumberFormat="1" applyFont="1" applyFill="1" applyBorder="1" applyAlignment="1">
      <alignment wrapText="1"/>
    </xf>
    <xf numFmtId="164" fontId="4" fillId="0" borderId="3" xfId="0" applyNumberFormat="1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wrapText="1"/>
    </xf>
    <xf numFmtId="4" fontId="4" fillId="0" borderId="3" xfId="0" applyNumberFormat="1" applyFont="1" applyFill="1" applyBorder="1" applyAlignment="1">
      <alignment wrapText="1"/>
    </xf>
    <xf numFmtId="0" fontId="3" fillId="5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49" fontId="3" fillId="5" borderId="3" xfId="0" applyNumberFormat="1" applyFont="1" applyFill="1" applyBorder="1" applyAlignment="1">
      <alignment horizontal="center" wrapText="1"/>
    </xf>
    <xf numFmtId="4" fontId="3" fillId="5" borderId="3" xfId="0" applyNumberFormat="1" applyFont="1" applyFill="1" applyBorder="1" applyAlignment="1">
      <alignment wrapText="1"/>
    </xf>
    <xf numFmtId="166" fontId="3" fillId="5" borderId="3" xfId="0" applyNumberFormat="1" applyFont="1" applyFill="1" applyBorder="1" applyAlignment="1">
      <alignment horizontal="right" wrapText="1"/>
    </xf>
    <xf numFmtId="166" fontId="3" fillId="6" borderId="3" xfId="0" applyNumberFormat="1" applyFont="1" applyFill="1" applyBorder="1" applyAlignment="1">
      <alignment horizontal="right" wrapText="1"/>
    </xf>
    <xf numFmtId="3" fontId="3" fillId="5" borderId="3" xfId="0" applyNumberFormat="1" applyFont="1" applyFill="1" applyBorder="1" applyAlignment="1">
      <alignment wrapText="1"/>
    </xf>
    <xf numFmtId="10" fontId="3" fillId="5" borderId="3" xfId="2" applyNumberFormat="1" applyFont="1" applyFill="1" applyBorder="1" applyAlignment="1"/>
    <xf numFmtId="0" fontId="3" fillId="5" borderId="3" xfId="0" applyFont="1" applyFill="1" applyBorder="1" applyAlignment="1"/>
    <xf numFmtId="164" fontId="3" fillId="5" borderId="3" xfId="0" applyNumberFormat="1" applyFont="1" applyFill="1" applyBorder="1" applyAlignment="1"/>
    <xf numFmtId="167" fontId="8" fillId="5" borderId="3" xfId="0" applyNumberFormat="1" applyFont="1" applyFill="1" applyBorder="1" applyAlignment="1"/>
    <xf numFmtId="164" fontId="4" fillId="5" borderId="3" xfId="0" applyNumberFormat="1" applyFont="1" applyFill="1" applyBorder="1"/>
    <xf numFmtId="164" fontId="4" fillId="5" borderId="3" xfId="1" applyNumberFormat="1" applyFont="1" applyFill="1" applyBorder="1"/>
    <xf numFmtId="164" fontId="4" fillId="5" borderId="4" xfId="1" applyNumberFormat="1" applyFont="1" applyFill="1" applyBorder="1"/>
    <xf numFmtId="164" fontId="4" fillId="2" borderId="4" xfId="1" applyNumberFormat="1" applyFont="1" applyFill="1" applyBorder="1"/>
    <xf numFmtId="164" fontId="4" fillId="3" borderId="4" xfId="1" applyNumberFormat="1" applyFont="1" applyFill="1" applyBorder="1"/>
    <xf numFmtId="4" fontId="3" fillId="5" borderId="4" xfId="0" applyNumberFormat="1" applyFont="1" applyFill="1" applyBorder="1"/>
    <xf numFmtId="0" fontId="3" fillId="5" borderId="4" xfId="0" applyFont="1" applyFill="1" applyBorder="1"/>
    <xf numFmtId="0" fontId="3" fillId="2" borderId="4" xfId="0" applyFont="1" applyFill="1" applyBorder="1"/>
    <xf numFmtId="0" fontId="3" fillId="3" borderId="4" xfId="0" applyFont="1" applyFill="1" applyBorder="1"/>
    <xf numFmtId="4" fontId="3" fillId="5" borderId="3" xfId="0" applyNumberFormat="1" applyFont="1" applyFill="1" applyBorder="1"/>
    <xf numFmtId="0" fontId="3" fillId="5" borderId="3" xfId="0" applyFont="1" applyFill="1" applyBorder="1"/>
    <xf numFmtId="164" fontId="3" fillId="5" borderId="4" xfId="0" applyNumberFormat="1" applyFont="1" applyFill="1" applyBorder="1"/>
    <xf numFmtId="169" fontId="3" fillId="5" borderId="3" xfId="1" applyNumberFormat="1" applyFont="1" applyFill="1" applyBorder="1"/>
    <xf numFmtId="0" fontId="3" fillId="5" borderId="0" xfId="0" applyFont="1" applyFill="1" applyAlignment="1">
      <alignment wrapText="1"/>
    </xf>
    <xf numFmtId="0" fontId="3" fillId="5" borderId="0" xfId="0" applyFont="1" applyFill="1"/>
    <xf numFmtId="0" fontId="9" fillId="5" borderId="0" xfId="0" applyFont="1" applyFill="1" applyAlignment="1">
      <alignment wrapText="1"/>
    </xf>
    <xf numFmtId="0" fontId="9" fillId="5" borderId="0" xfId="0" applyFont="1" applyFill="1"/>
    <xf numFmtId="0" fontId="9" fillId="7" borderId="3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wrapText="1"/>
    </xf>
    <xf numFmtId="49" fontId="9" fillId="7" borderId="3" xfId="0" applyNumberFormat="1" applyFont="1" applyFill="1" applyBorder="1" applyAlignment="1">
      <alignment horizontal="center" wrapText="1"/>
    </xf>
    <xf numFmtId="0" fontId="3" fillId="7" borderId="3" xfId="0" applyFont="1" applyFill="1" applyBorder="1" applyAlignment="1">
      <alignment wrapText="1"/>
    </xf>
    <xf numFmtId="4" fontId="9" fillId="0" borderId="3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66" fontId="9" fillId="7" borderId="3" xfId="0" applyNumberFormat="1" applyFont="1" applyFill="1" applyBorder="1" applyAlignment="1">
      <alignment horizontal="right" wrapText="1"/>
    </xf>
    <xf numFmtId="3" fontId="9" fillId="7" borderId="3" xfId="0" applyNumberFormat="1" applyFont="1" applyFill="1" applyBorder="1" applyAlignment="1">
      <alignment wrapText="1"/>
    </xf>
    <xf numFmtId="10" fontId="9" fillId="0" borderId="3" xfId="2" applyNumberFormat="1" applyFont="1" applyFill="1" applyBorder="1" applyAlignment="1"/>
    <xf numFmtId="0" fontId="9" fillId="0" borderId="3" xfId="0" applyFont="1" applyFill="1" applyBorder="1" applyAlignment="1"/>
    <xf numFmtId="164" fontId="9" fillId="0" borderId="3" xfId="0" applyNumberFormat="1" applyFont="1" applyFill="1" applyBorder="1" applyAlignment="1"/>
    <xf numFmtId="164" fontId="9" fillId="7" borderId="3" xfId="0" applyNumberFormat="1" applyFont="1" applyFill="1" applyBorder="1" applyAlignment="1"/>
    <xf numFmtId="167" fontId="10" fillId="7" borderId="3" xfId="0" applyNumberFormat="1" applyFont="1" applyFill="1" applyBorder="1" applyAlignment="1"/>
    <xf numFmtId="0" fontId="9" fillId="7" borderId="3" xfId="0" applyFont="1" applyFill="1" applyBorder="1" applyAlignment="1"/>
    <xf numFmtId="164" fontId="11" fillId="7" borderId="3" xfId="0" applyNumberFormat="1" applyFont="1" applyFill="1" applyBorder="1"/>
    <xf numFmtId="164" fontId="11" fillId="0" borderId="3" xfId="1" applyNumberFormat="1" applyFont="1" applyFill="1" applyBorder="1"/>
    <xf numFmtId="164" fontId="11" fillId="7" borderId="3" xfId="1" applyNumberFormat="1" applyFont="1" applyFill="1" applyBorder="1"/>
    <xf numFmtId="164" fontId="11" fillId="7" borderId="4" xfId="1" applyNumberFormat="1" applyFont="1" applyFill="1" applyBorder="1"/>
    <xf numFmtId="164" fontId="11" fillId="2" borderId="4" xfId="1" applyNumberFormat="1" applyFont="1" applyFill="1" applyBorder="1"/>
    <xf numFmtId="164" fontId="11" fillId="3" borderId="4" xfId="1" applyNumberFormat="1" applyFont="1" applyFill="1" applyBorder="1"/>
    <xf numFmtId="164" fontId="4" fillId="7" borderId="4" xfId="1" applyNumberFormat="1" applyFont="1" applyFill="1" applyBorder="1"/>
    <xf numFmtId="4" fontId="6" fillId="7" borderId="4" xfId="0" applyNumberFormat="1" applyFont="1" applyFill="1" applyBorder="1"/>
    <xf numFmtId="4" fontId="9" fillId="7" borderId="4" xfId="0" applyNumberFormat="1" applyFont="1" applyFill="1" applyBorder="1"/>
    <xf numFmtId="0" fontId="9" fillId="7" borderId="4" xfId="0" applyFont="1" applyFill="1" applyBorder="1"/>
    <xf numFmtId="4" fontId="3" fillId="7" borderId="3" xfId="0" applyNumberFormat="1" applyFont="1" applyFill="1" applyBorder="1"/>
    <xf numFmtId="0" fontId="9" fillId="7" borderId="3" xfId="0" applyFont="1" applyFill="1" applyBorder="1"/>
    <xf numFmtId="164" fontId="3" fillId="7" borderId="4" xfId="0" applyNumberFormat="1" applyFont="1" applyFill="1" applyBorder="1"/>
    <xf numFmtId="0" fontId="9" fillId="0" borderId="0" xfId="0" applyFont="1" applyFill="1" applyAlignment="1">
      <alignment wrapText="1"/>
    </xf>
    <xf numFmtId="0" fontId="9" fillId="0" borderId="0" xfId="0" applyFont="1" applyFill="1"/>
    <xf numFmtId="4" fontId="3" fillId="5" borderId="3" xfId="0" applyNumberFormat="1" applyFont="1" applyFill="1" applyBorder="1" applyAlignment="1">
      <alignment horizontal="center" wrapText="1"/>
    </xf>
    <xf numFmtId="0" fontId="4" fillId="5" borderId="3" xfId="0" applyFont="1" applyFill="1" applyBorder="1"/>
    <xf numFmtId="0" fontId="11" fillId="7" borderId="3" xfId="0" applyFont="1" applyFill="1" applyBorder="1"/>
    <xf numFmtId="169" fontId="3" fillId="7" borderId="3" xfId="1" applyNumberFormat="1" applyFont="1" applyFill="1" applyBorder="1"/>
    <xf numFmtId="0" fontId="3" fillId="8" borderId="3" xfId="0" applyFont="1" applyFill="1" applyBorder="1" applyAlignment="1">
      <alignment wrapText="1"/>
    </xf>
    <xf numFmtId="49" fontId="3" fillId="8" borderId="3" xfId="0" applyNumberFormat="1" applyFont="1" applyFill="1" applyBorder="1" applyAlignment="1">
      <alignment horizontal="center" wrapText="1"/>
    </xf>
    <xf numFmtId="4" fontId="9" fillId="7" borderId="3" xfId="0" applyNumberFormat="1" applyFont="1" applyFill="1" applyBorder="1" applyAlignment="1">
      <alignment wrapText="1"/>
    </xf>
    <xf numFmtId="10" fontId="9" fillId="7" borderId="3" xfId="2" applyNumberFormat="1" applyFont="1" applyFill="1" applyBorder="1" applyAlignment="1"/>
    <xf numFmtId="10" fontId="3" fillId="7" borderId="3" xfId="2" applyNumberFormat="1" applyFont="1" applyFill="1" applyBorder="1" applyAlignment="1"/>
    <xf numFmtId="164" fontId="13" fillId="7" borderId="3" xfId="3" applyNumberFormat="1" applyFont="1" applyFill="1" applyBorder="1" applyAlignment="1">
      <alignment horizontal="right" wrapText="1"/>
    </xf>
    <xf numFmtId="169" fontId="6" fillId="7" borderId="3" xfId="1" applyNumberFormat="1" applyFont="1" applyFill="1" applyBorder="1"/>
    <xf numFmtId="4" fontId="14" fillId="5" borderId="3" xfId="0" applyNumberFormat="1" applyFont="1" applyFill="1" applyBorder="1" applyAlignment="1">
      <alignment horizontal="right" wrapText="1"/>
    </xf>
    <xf numFmtId="164" fontId="14" fillId="5" borderId="3" xfId="0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166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/>
    <xf numFmtId="167" fontId="8" fillId="2" borderId="3" xfId="0" applyNumberFormat="1" applyFont="1" applyFill="1" applyBorder="1" applyAlignment="1"/>
    <xf numFmtId="0" fontId="3" fillId="2" borderId="3" xfId="0" applyFont="1" applyFill="1" applyBorder="1" applyAlignment="1"/>
    <xf numFmtId="164" fontId="4" fillId="2" borderId="3" xfId="0" applyNumberFormat="1" applyFont="1" applyFill="1" applyBorder="1"/>
    <xf numFmtId="164" fontId="4" fillId="2" borderId="3" xfId="1" applyNumberFormat="1" applyFont="1" applyFill="1" applyBorder="1"/>
    <xf numFmtId="4" fontId="3" fillId="2" borderId="4" xfId="0" applyNumberFormat="1" applyFont="1" applyFill="1" applyBorder="1"/>
    <xf numFmtId="4" fontId="3" fillId="2" borderId="3" xfId="0" applyNumberFormat="1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wrapText="1"/>
    </xf>
    <xf numFmtId="49" fontId="3" fillId="2" borderId="3" xfId="0" applyNumberFormat="1" applyFont="1" applyFill="1" applyBorder="1" applyAlignment="1">
      <alignment horizontal="center" wrapText="1"/>
    </xf>
    <xf numFmtId="0" fontId="3" fillId="10" borderId="3" xfId="0" applyFont="1" applyFill="1" applyBorder="1" applyAlignment="1">
      <alignment wrapText="1"/>
    </xf>
    <xf numFmtId="10" fontId="3" fillId="2" borderId="3" xfId="2" applyNumberFormat="1" applyFont="1" applyFill="1" applyBorder="1" applyAlignment="1"/>
    <xf numFmtId="169" fontId="3" fillId="8" borderId="3" xfId="1" applyNumberFormat="1" applyFont="1" applyFill="1" applyBorder="1"/>
    <xf numFmtId="0" fontId="6" fillId="8" borderId="0" xfId="0" applyFont="1" applyFill="1" applyAlignment="1">
      <alignment wrapText="1"/>
    </xf>
    <xf numFmtId="0" fontId="6" fillId="8" borderId="0" xfId="0" applyFont="1" applyFill="1"/>
    <xf numFmtId="0" fontId="4" fillId="2" borderId="3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13" fillId="7" borderId="3" xfId="3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center" wrapText="1"/>
    </xf>
    <xf numFmtId="0" fontId="9" fillId="8" borderId="3" xfId="0" applyFont="1" applyFill="1" applyBorder="1" applyAlignment="1">
      <alignment wrapText="1"/>
    </xf>
    <xf numFmtId="49" fontId="9" fillId="8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4" fontId="9" fillId="2" borderId="3" xfId="0" applyNumberFormat="1" applyFont="1" applyFill="1" applyBorder="1" applyAlignment="1">
      <alignment wrapText="1"/>
    </xf>
    <xf numFmtId="166" fontId="9" fillId="2" borderId="3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wrapText="1"/>
    </xf>
    <xf numFmtId="10" fontId="9" fillId="2" borderId="3" xfId="2" applyNumberFormat="1" applyFont="1" applyFill="1" applyBorder="1" applyAlignment="1"/>
    <xf numFmtId="164" fontId="9" fillId="2" borderId="3" xfId="0" applyNumberFormat="1" applyFont="1" applyFill="1" applyBorder="1" applyAlignment="1"/>
    <xf numFmtId="167" fontId="10" fillId="2" borderId="3" xfId="0" applyNumberFormat="1" applyFont="1" applyFill="1" applyBorder="1" applyAlignment="1"/>
    <xf numFmtId="0" fontId="9" fillId="2" borderId="3" xfId="0" applyFont="1" applyFill="1" applyBorder="1" applyAlignment="1"/>
    <xf numFmtId="164" fontId="11" fillId="2" borderId="3" xfId="0" applyNumberFormat="1" applyFont="1" applyFill="1" applyBorder="1"/>
    <xf numFmtId="0" fontId="11" fillId="2" borderId="3" xfId="0" applyFont="1" applyFill="1" applyBorder="1"/>
    <xf numFmtId="164" fontId="11" fillId="2" borderId="3" xfId="1" applyNumberFormat="1" applyFont="1" applyFill="1" applyBorder="1"/>
    <xf numFmtId="4" fontId="6" fillId="2" borderId="4" xfId="0" applyNumberFormat="1" applyFont="1" applyFill="1" applyBorder="1"/>
    <xf numFmtId="4" fontId="9" fillId="2" borderId="4" xfId="0" applyNumberFormat="1" applyFont="1" applyFill="1" applyBorder="1"/>
    <xf numFmtId="0" fontId="9" fillId="2" borderId="4" xfId="0" applyFont="1" applyFill="1" applyBorder="1"/>
    <xf numFmtId="0" fontId="9" fillId="2" borderId="3" xfId="0" applyFont="1" applyFill="1" applyBorder="1"/>
    <xf numFmtId="164" fontId="3" fillId="2" borderId="4" xfId="0" applyNumberFormat="1" applyFont="1" applyFill="1" applyBorder="1"/>
    <xf numFmtId="169" fontId="3" fillId="2" borderId="3" xfId="1" applyNumberFormat="1" applyFont="1" applyFill="1" applyBorder="1"/>
    <xf numFmtId="0" fontId="9" fillId="2" borderId="0" xfId="0" applyFont="1" applyFill="1"/>
    <xf numFmtId="0" fontId="3" fillId="7" borderId="3" xfId="0" applyFont="1" applyFill="1" applyBorder="1" applyAlignment="1">
      <alignment horizontal="center" wrapText="1"/>
    </xf>
    <xf numFmtId="49" fontId="3" fillId="7" borderId="3" xfId="0" applyNumberFormat="1" applyFont="1" applyFill="1" applyBorder="1" applyAlignment="1">
      <alignment horizontal="center" wrapText="1"/>
    </xf>
    <xf numFmtId="4" fontId="3" fillId="7" borderId="3" xfId="0" applyNumberFormat="1" applyFont="1" applyFill="1" applyBorder="1" applyAlignment="1">
      <alignment wrapText="1"/>
    </xf>
    <xf numFmtId="166" fontId="3" fillId="7" borderId="3" xfId="0" applyNumberFormat="1" applyFont="1" applyFill="1" applyBorder="1" applyAlignment="1">
      <alignment horizontal="right" wrapText="1"/>
    </xf>
    <xf numFmtId="3" fontId="3" fillId="7" borderId="3" xfId="0" applyNumberFormat="1" applyFont="1" applyFill="1" applyBorder="1" applyAlignment="1">
      <alignment wrapText="1"/>
    </xf>
    <xf numFmtId="0" fontId="3" fillId="7" borderId="3" xfId="0" applyFont="1" applyFill="1" applyBorder="1" applyAlignment="1"/>
    <xf numFmtId="164" fontId="3" fillId="7" borderId="3" xfId="0" applyNumberFormat="1" applyFont="1" applyFill="1" applyBorder="1" applyAlignment="1"/>
    <xf numFmtId="167" fontId="8" fillId="7" borderId="3" xfId="0" applyNumberFormat="1" applyFont="1" applyFill="1" applyBorder="1" applyAlignment="1"/>
    <xf numFmtId="164" fontId="4" fillId="7" borderId="3" xfId="0" applyNumberFormat="1" applyFont="1" applyFill="1" applyBorder="1"/>
    <xf numFmtId="164" fontId="4" fillId="7" borderId="3" xfId="1" applyNumberFormat="1" applyFont="1" applyFill="1" applyBorder="1"/>
    <xf numFmtId="4" fontId="3" fillId="7" borderId="4" xfId="0" applyNumberFormat="1" applyFont="1" applyFill="1" applyBorder="1"/>
    <xf numFmtId="0" fontId="3" fillId="7" borderId="4" xfId="0" applyFont="1" applyFill="1" applyBorder="1"/>
    <xf numFmtId="0" fontId="3" fillId="7" borderId="3" xfId="0" applyFont="1" applyFill="1" applyBorder="1"/>
    <xf numFmtId="0" fontId="3" fillId="7" borderId="0" xfId="0" applyFont="1" applyFill="1" applyAlignment="1">
      <alignment wrapText="1"/>
    </xf>
    <xf numFmtId="0" fontId="3" fillId="7" borderId="0" xfId="0" applyFont="1" applyFill="1"/>
    <xf numFmtId="0" fontId="9" fillId="2" borderId="0" xfId="0" applyFont="1" applyFill="1" applyAlignment="1">
      <alignment wrapText="1"/>
    </xf>
    <xf numFmtId="0" fontId="9" fillId="11" borderId="3" xfId="0" applyFont="1" applyFill="1" applyBorder="1" applyAlignment="1">
      <alignment wrapText="1"/>
    </xf>
    <xf numFmtId="4" fontId="3" fillId="7" borderId="4" xfId="1" applyNumberFormat="1" applyFont="1" applyFill="1" applyBorder="1"/>
    <xf numFmtId="166" fontId="6" fillId="7" borderId="3" xfId="0" applyNumberFormat="1" applyFont="1" applyFill="1" applyBorder="1" applyAlignment="1">
      <alignment horizontal="right" wrapText="1"/>
    </xf>
    <xf numFmtId="0" fontId="6" fillId="5" borderId="0" xfId="0" applyFont="1" applyFill="1" applyAlignment="1">
      <alignment wrapText="1"/>
    </xf>
    <xf numFmtId="169" fontId="6" fillId="5" borderId="3" xfId="1" applyNumberFormat="1" applyFont="1" applyFill="1" applyBorder="1"/>
    <xf numFmtId="4" fontId="13" fillId="2" borderId="3" xfId="3" applyNumberFormat="1" applyFont="1" applyFill="1" applyBorder="1" applyAlignment="1">
      <alignment horizontal="right" wrapText="1"/>
    </xf>
    <xf numFmtId="164" fontId="13" fillId="2" borderId="3" xfId="3" applyNumberFormat="1" applyFont="1" applyFill="1" applyBorder="1" applyAlignment="1">
      <alignment horizontal="right" wrapText="1"/>
    </xf>
    <xf numFmtId="0" fontId="9" fillId="8" borderId="3" xfId="0" applyFont="1" applyFill="1" applyBorder="1" applyAlignment="1">
      <alignment horizontal="center" wrapText="1"/>
    </xf>
    <xf numFmtId="166" fontId="9" fillId="8" borderId="3" xfId="0" applyNumberFormat="1" applyFont="1" applyFill="1" applyBorder="1" applyAlignment="1">
      <alignment horizontal="right" wrapText="1"/>
    </xf>
    <xf numFmtId="3" fontId="9" fillId="8" borderId="3" xfId="0" applyNumberFormat="1" applyFont="1" applyFill="1" applyBorder="1" applyAlignment="1">
      <alignment wrapText="1"/>
    </xf>
    <xf numFmtId="10" fontId="9" fillId="8" borderId="3" xfId="2" applyNumberFormat="1" applyFont="1" applyFill="1" applyBorder="1" applyAlignment="1"/>
    <xf numFmtId="164" fontId="9" fillId="8" borderId="3" xfId="0" applyNumberFormat="1" applyFont="1" applyFill="1" applyBorder="1" applyAlignment="1"/>
    <xf numFmtId="167" fontId="10" fillId="8" borderId="3" xfId="0" applyNumberFormat="1" applyFont="1" applyFill="1" applyBorder="1" applyAlignment="1"/>
    <xf numFmtId="0" fontId="9" fillId="8" borderId="3" xfId="0" applyFont="1" applyFill="1" applyBorder="1" applyAlignment="1"/>
    <xf numFmtId="164" fontId="11" fillId="8" borderId="3" xfId="0" applyNumberFormat="1" applyFont="1" applyFill="1" applyBorder="1"/>
    <xf numFmtId="164" fontId="11" fillId="8" borderId="3" xfId="1" applyNumberFormat="1" applyFont="1" applyFill="1" applyBorder="1"/>
    <xf numFmtId="164" fontId="11" fillId="8" borderId="4" xfId="1" applyNumberFormat="1" applyFont="1" applyFill="1" applyBorder="1"/>
    <xf numFmtId="164" fontId="4" fillId="8" borderId="4" xfId="1" applyNumberFormat="1" applyFont="1" applyFill="1" applyBorder="1"/>
    <xf numFmtId="4" fontId="3" fillId="8" borderId="4" xfId="0" applyNumberFormat="1" applyFont="1" applyFill="1" applyBorder="1"/>
    <xf numFmtId="4" fontId="9" fillId="8" borderId="4" xfId="0" applyNumberFormat="1" applyFont="1" applyFill="1" applyBorder="1"/>
    <xf numFmtId="0" fontId="9" fillId="8" borderId="4" xfId="0" applyFont="1" applyFill="1" applyBorder="1"/>
    <xf numFmtId="4" fontId="3" fillId="8" borderId="3" xfId="0" applyNumberFormat="1" applyFont="1" applyFill="1" applyBorder="1"/>
    <xf numFmtId="0" fontId="9" fillId="8" borderId="3" xfId="0" applyFont="1" applyFill="1" applyBorder="1"/>
    <xf numFmtId="164" fontId="3" fillId="8" borderId="4" xfId="0" applyNumberFormat="1" applyFont="1" applyFill="1" applyBorder="1"/>
    <xf numFmtId="0" fontId="9" fillId="8" borderId="0" xfId="0" applyFont="1" applyFill="1"/>
    <xf numFmtId="164" fontId="16" fillId="7" borderId="3" xfId="0" applyNumberFormat="1" applyFont="1" applyFill="1" applyBorder="1"/>
    <xf numFmtId="164" fontId="16" fillId="7" borderId="3" xfId="1" applyNumberFormat="1" applyFont="1" applyFill="1" applyBorder="1"/>
    <xf numFmtId="164" fontId="16" fillId="7" borderId="4" xfId="1" applyNumberFormat="1" applyFont="1" applyFill="1" applyBorder="1"/>
    <xf numFmtId="164" fontId="16" fillId="2" borderId="4" xfId="1" applyNumberFormat="1" applyFont="1" applyFill="1" applyBorder="1"/>
    <xf numFmtId="164" fontId="16" fillId="3" borderId="4" xfId="1" applyNumberFormat="1" applyFont="1" applyFill="1" applyBorder="1"/>
    <xf numFmtId="164" fontId="11" fillId="12" borderId="4" xfId="1" applyNumberFormat="1" applyFont="1" applyFill="1" applyBorder="1"/>
    <xf numFmtId="0" fontId="17" fillId="7" borderId="3" xfId="0" applyFont="1" applyFill="1" applyBorder="1" applyAlignment="1">
      <alignment horizontal="center" wrapText="1"/>
    </xf>
    <xf numFmtId="0" fontId="17" fillId="7" borderId="3" xfId="0" applyFont="1" applyFill="1" applyBorder="1" applyAlignment="1">
      <alignment wrapText="1"/>
    </xf>
    <xf numFmtId="49" fontId="17" fillId="7" borderId="3" xfId="0" applyNumberFormat="1" applyFont="1" applyFill="1" applyBorder="1" applyAlignment="1">
      <alignment horizontal="center" wrapText="1"/>
    </xf>
    <xf numFmtId="166" fontId="17" fillId="7" borderId="3" xfId="0" applyNumberFormat="1" applyFont="1" applyFill="1" applyBorder="1" applyAlignment="1">
      <alignment horizontal="right" wrapText="1"/>
    </xf>
    <xf numFmtId="3" fontId="17" fillId="7" borderId="3" xfId="0" applyNumberFormat="1" applyFont="1" applyFill="1" applyBorder="1" applyAlignment="1">
      <alignment wrapText="1"/>
    </xf>
    <xf numFmtId="10" fontId="17" fillId="7" borderId="3" xfId="2" applyNumberFormat="1" applyFont="1" applyFill="1" applyBorder="1" applyAlignment="1"/>
    <xf numFmtId="0" fontId="17" fillId="7" borderId="3" xfId="0" applyFont="1" applyFill="1" applyBorder="1" applyAlignment="1"/>
    <xf numFmtId="164" fontId="17" fillId="7" borderId="3" xfId="0" applyNumberFormat="1" applyFont="1" applyFill="1" applyBorder="1" applyAlignment="1"/>
    <xf numFmtId="167" fontId="18" fillId="7" borderId="3" xfId="0" applyNumberFormat="1" applyFont="1" applyFill="1" applyBorder="1" applyAlignment="1"/>
    <xf numFmtId="164" fontId="19" fillId="7" borderId="3" xfId="0" applyNumberFormat="1" applyFont="1" applyFill="1" applyBorder="1"/>
    <xf numFmtId="0" fontId="19" fillId="7" borderId="3" xfId="0" applyFont="1" applyFill="1" applyBorder="1"/>
    <xf numFmtId="164" fontId="19" fillId="7" borderId="3" xfId="1" applyNumberFormat="1" applyFont="1" applyFill="1" applyBorder="1"/>
    <xf numFmtId="164" fontId="19" fillId="7" borderId="4" xfId="1" applyNumberFormat="1" applyFont="1" applyFill="1" applyBorder="1"/>
    <xf numFmtId="164" fontId="19" fillId="12" borderId="4" xfId="1" applyNumberFormat="1" applyFont="1" applyFill="1" applyBorder="1"/>
    <xf numFmtId="4" fontId="17" fillId="7" borderId="4" xfId="0" applyNumberFormat="1" applyFont="1" applyFill="1" applyBorder="1"/>
    <xf numFmtId="0" fontId="17" fillId="7" borderId="4" xfId="0" applyFont="1" applyFill="1" applyBorder="1"/>
    <xf numFmtId="4" fontId="17" fillId="7" borderId="3" xfId="0" applyNumberFormat="1" applyFont="1" applyFill="1" applyBorder="1"/>
    <xf numFmtId="0" fontId="3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166" fontId="3" fillId="0" borderId="3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wrapText="1"/>
    </xf>
    <xf numFmtId="10" fontId="3" fillId="0" borderId="3" xfId="2" applyNumberFormat="1" applyFont="1" applyFill="1" applyBorder="1" applyAlignment="1"/>
    <xf numFmtId="0" fontId="3" fillId="0" borderId="3" xfId="0" applyFont="1" applyFill="1" applyBorder="1" applyAlignment="1"/>
    <xf numFmtId="164" fontId="3" fillId="0" borderId="3" xfId="0" applyNumberFormat="1" applyFont="1" applyFill="1" applyBorder="1" applyAlignment="1"/>
    <xf numFmtId="167" fontId="8" fillId="0" borderId="3" xfId="0" applyNumberFormat="1" applyFont="1" applyFill="1" applyBorder="1" applyAlignment="1"/>
    <xf numFmtId="164" fontId="4" fillId="0" borderId="3" xfId="0" applyNumberFormat="1" applyFont="1" applyFill="1" applyBorder="1"/>
    <xf numFmtId="0" fontId="4" fillId="0" borderId="3" xfId="0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4" fontId="3" fillId="0" borderId="4" xfId="0" applyNumberFormat="1" applyFont="1" applyFill="1" applyBorder="1"/>
    <xf numFmtId="0" fontId="3" fillId="0" borderId="4" xfId="0" applyFont="1" applyFill="1" applyBorder="1"/>
    <xf numFmtId="4" fontId="3" fillId="3" borderId="4" xfId="0" applyNumberFormat="1" applyFont="1" applyFill="1" applyBorder="1"/>
    <xf numFmtId="0" fontId="3" fillId="0" borderId="3" xfId="0" applyFont="1" applyFill="1" applyBorder="1"/>
    <xf numFmtId="0" fontId="9" fillId="5" borderId="3" xfId="0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4" fontId="13" fillId="0" borderId="3" xfId="3" applyNumberFormat="1" applyFont="1" applyFill="1" applyBorder="1" applyAlignment="1">
      <alignment horizontal="right" wrapText="1"/>
    </xf>
    <xf numFmtId="0" fontId="6" fillId="8" borderId="3" xfId="0" applyFont="1" applyFill="1" applyBorder="1" applyAlignment="1">
      <alignment horizontal="center" wrapText="1"/>
    </xf>
    <xf numFmtId="0" fontId="4" fillId="7" borderId="3" xfId="0" applyFont="1" applyFill="1" applyBorder="1"/>
    <xf numFmtId="0" fontId="6" fillId="10" borderId="0" xfId="0" applyFont="1" applyFill="1" applyAlignment="1">
      <alignment wrapText="1"/>
    </xf>
    <xf numFmtId="0" fontId="6" fillId="10" borderId="0" xfId="0" applyFont="1" applyFill="1"/>
    <xf numFmtId="4" fontId="14" fillId="7" borderId="3" xfId="3" applyNumberFormat="1" applyFont="1" applyFill="1" applyBorder="1" applyAlignment="1">
      <alignment horizontal="right" wrapText="1"/>
    </xf>
    <xf numFmtId="164" fontId="14" fillId="7" borderId="3" xfId="3" applyNumberFormat="1" applyFont="1" applyFill="1" applyBorder="1" applyAlignment="1">
      <alignment horizontal="right" wrapText="1"/>
    </xf>
    <xf numFmtId="4" fontId="20" fillId="7" borderId="7" xfId="0" applyNumberFormat="1" applyFont="1" applyFill="1" applyBorder="1" applyAlignment="1">
      <alignment horizontal="center" wrapText="1"/>
    </xf>
    <xf numFmtId="4" fontId="20" fillId="7" borderId="3" xfId="0" applyNumberFormat="1" applyFont="1" applyFill="1" applyBorder="1" applyAlignment="1">
      <alignment horizontal="center" wrapText="1"/>
    </xf>
    <xf numFmtId="168" fontId="3" fillId="7" borderId="3" xfId="1" applyNumberFormat="1" applyFont="1" applyFill="1" applyBorder="1"/>
    <xf numFmtId="4" fontId="14" fillId="5" borderId="3" xfId="3" applyNumberFormat="1" applyFont="1" applyFill="1" applyBorder="1" applyAlignment="1">
      <alignment horizontal="right" wrapText="1"/>
    </xf>
    <xf numFmtId="164" fontId="14" fillId="5" borderId="3" xfId="3" applyNumberFormat="1" applyFont="1" applyFill="1" applyBorder="1" applyAlignment="1">
      <alignment horizontal="right" wrapText="1"/>
    </xf>
    <xf numFmtId="4" fontId="20" fillId="9" borderId="6" xfId="0" applyNumberFormat="1" applyFont="1" applyFill="1" applyBorder="1" applyAlignment="1">
      <alignment horizontal="center" wrapText="1"/>
    </xf>
    <xf numFmtId="4" fontId="20" fillId="9" borderId="0" xfId="0" applyNumberFormat="1" applyFont="1" applyFill="1" applyBorder="1" applyAlignment="1">
      <alignment horizontal="center" wrapText="1"/>
    </xf>
    <xf numFmtId="168" fontId="3" fillId="5" borderId="3" xfId="1" applyNumberFormat="1" applyFont="1" applyFill="1" applyBorder="1"/>
    <xf numFmtId="164" fontId="4" fillId="4" borderId="4" xfId="1" applyNumberFormat="1" applyFont="1" applyFill="1" applyBorder="1"/>
    <xf numFmtId="0" fontId="6" fillId="7" borderId="0" xfId="0" applyFont="1" applyFill="1" applyAlignment="1">
      <alignment wrapText="1"/>
    </xf>
    <xf numFmtId="0" fontId="6" fillId="7" borderId="0" xfId="0" applyFont="1" applyFill="1"/>
    <xf numFmtId="0" fontId="17" fillId="2" borderId="3" xfId="0" applyFont="1" applyFill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0" fontId="17" fillId="2" borderId="3" xfId="0" applyFont="1" applyFill="1" applyBorder="1" applyAlignment="1">
      <alignment wrapText="1"/>
    </xf>
    <xf numFmtId="166" fontId="17" fillId="2" borderId="3" xfId="0" applyNumberFormat="1" applyFont="1" applyFill="1" applyBorder="1" applyAlignment="1">
      <alignment horizontal="right" wrapText="1"/>
    </xf>
    <xf numFmtId="3" fontId="17" fillId="2" borderId="3" xfId="0" applyNumberFormat="1" applyFont="1" applyFill="1" applyBorder="1" applyAlignment="1">
      <alignment wrapText="1"/>
    </xf>
    <xf numFmtId="10" fontId="17" fillId="2" borderId="3" xfId="2" applyNumberFormat="1" applyFont="1" applyFill="1" applyBorder="1" applyAlignment="1"/>
    <xf numFmtId="164" fontId="17" fillId="2" borderId="3" xfId="0" applyNumberFormat="1" applyFont="1" applyFill="1" applyBorder="1" applyAlignment="1"/>
    <xf numFmtId="167" fontId="18" fillId="2" borderId="3" xfId="0" applyNumberFormat="1" applyFont="1" applyFill="1" applyBorder="1" applyAlignment="1"/>
    <xf numFmtId="0" fontId="17" fillId="2" borderId="3" xfId="0" applyFont="1" applyFill="1" applyBorder="1" applyAlignment="1"/>
    <xf numFmtId="164" fontId="19" fillId="2" borderId="3" xfId="0" applyNumberFormat="1" applyFont="1" applyFill="1" applyBorder="1"/>
    <xf numFmtId="164" fontId="19" fillId="2" borderId="3" xfId="1" applyNumberFormat="1" applyFont="1" applyFill="1" applyBorder="1"/>
    <xf numFmtId="164" fontId="19" fillId="2" borderId="4" xfId="1" applyNumberFormat="1" applyFont="1" applyFill="1" applyBorder="1"/>
    <xf numFmtId="4" fontId="17" fillId="2" borderId="4" xfId="0" applyNumberFormat="1" applyFont="1" applyFill="1" applyBorder="1"/>
    <xf numFmtId="0" fontId="17" fillId="2" borderId="4" xfId="0" applyFont="1" applyFill="1" applyBorder="1"/>
    <xf numFmtId="4" fontId="17" fillId="2" borderId="3" xfId="0" applyNumberFormat="1" applyFont="1" applyFill="1" applyBorder="1"/>
    <xf numFmtId="0" fontId="17" fillId="2" borderId="3" xfId="0" applyFont="1" applyFill="1" applyBorder="1"/>
    <xf numFmtId="164" fontId="17" fillId="2" borderId="4" xfId="0" applyNumberFormat="1" applyFont="1" applyFill="1" applyBorder="1"/>
    <xf numFmtId="169" fontId="17" fillId="2" borderId="3" xfId="1" applyNumberFormat="1" applyFont="1" applyFill="1" applyBorder="1"/>
    <xf numFmtId="0" fontId="17" fillId="2" borderId="0" xfId="0" applyFont="1" applyFill="1"/>
    <xf numFmtId="49" fontId="9" fillId="2" borderId="3" xfId="0" applyNumberFormat="1" applyFont="1" applyFill="1" applyBorder="1" applyAlignment="1">
      <alignment horizontal="center" wrapText="1"/>
    </xf>
    <xf numFmtId="4" fontId="8" fillId="0" borderId="4" xfId="0" applyNumberFormat="1" applyFont="1" applyFill="1" applyBorder="1"/>
    <xf numFmtId="0" fontId="6" fillId="0" borderId="0" xfId="0" applyFont="1" applyFill="1" applyAlignment="1">
      <alignment wrapText="1"/>
    </xf>
    <xf numFmtId="0" fontId="17" fillId="8" borderId="0" xfId="0" applyFont="1" applyFill="1" applyAlignment="1">
      <alignment wrapText="1"/>
    </xf>
    <xf numFmtId="164" fontId="3" fillId="7" borderId="4" xfId="1" applyNumberFormat="1" applyFont="1" applyFill="1" applyBorder="1"/>
    <xf numFmtId="4" fontId="3" fillId="5" borderId="4" xfId="1" applyNumberFormat="1" applyFont="1" applyFill="1" applyBorder="1"/>
    <xf numFmtId="0" fontId="17" fillId="7" borderId="3" xfId="0" applyFont="1" applyFill="1" applyBorder="1"/>
    <xf numFmtId="0" fontId="17" fillId="7" borderId="0" xfId="0" applyFont="1" applyFill="1" applyAlignment="1">
      <alignment wrapText="1"/>
    </xf>
    <xf numFmtId="0" fontId="17" fillId="7" borderId="0" xfId="0" applyFont="1" applyFill="1"/>
    <xf numFmtId="168" fontId="4" fillId="5" borderId="3" xfId="1" applyNumberFormat="1" applyFont="1" applyFill="1" applyBorder="1"/>
    <xf numFmtId="4" fontId="20" fillId="9" borderId="0" xfId="0" applyNumberFormat="1" applyFont="1" applyFill="1" applyBorder="1" applyAlignment="1">
      <alignment horizontal="right" vertical="center" wrapText="1"/>
    </xf>
    <xf numFmtId="0" fontId="3" fillId="8" borderId="0" xfId="0" applyFont="1" applyFill="1" applyAlignment="1">
      <alignment wrapText="1"/>
    </xf>
    <xf numFmtId="0" fontId="3" fillId="8" borderId="3" xfId="0" applyFont="1" applyFill="1" applyBorder="1" applyAlignment="1">
      <alignment horizontal="center" wrapText="1"/>
    </xf>
    <xf numFmtId="4" fontId="11" fillId="7" borderId="3" xfId="0" applyNumberFormat="1" applyFont="1" applyFill="1" applyBorder="1"/>
    <xf numFmtId="4" fontId="11" fillId="8" borderId="3" xfId="0" applyNumberFormat="1" applyFont="1" applyFill="1" applyBorder="1"/>
    <xf numFmtId="4" fontId="6" fillId="8" borderId="4" xfId="0" applyNumberFormat="1" applyFont="1" applyFill="1" applyBorder="1"/>
    <xf numFmtId="4" fontId="4" fillId="0" borderId="3" xfId="0" applyNumberFormat="1" applyFont="1" applyFill="1" applyBorder="1"/>
    <xf numFmtId="4" fontId="4" fillId="7" borderId="3" xfId="0" applyNumberFormat="1" applyFont="1" applyFill="1" applyBorder="1"/>
    <xf numFmtId="4" fontId="4" fillId="5" borderId="3" xfId="0" applyNumberFormat="1" applyFont="1" applyFill="1" applyBorder="1"/>
    <xf numFmtId="0" fontId="3" fillId="8" borderId="0" xfId="0" applyFont="1" applyFill="1"/>
    <xf numFmtId="4" fontId="11" fillId="2" borderId="3" xfId="0" applyNumberFormat="1" applyFont="1" applyFill="1" applyBorder="1"/>
    <xf numFmtId="166" fontId="6" fillId="0" borderId="3" xfId="0" applyNumberFormat="1" applyFont="1" applyFill="1" applyBorder="1" applyAlignment="1">
      <alignment horizontal="right" wrapText="1"/>
    </xf>
    <xf numFmtId="4" fontId="13" fillId="8" borderId="3" xfId="3" applyNumberFormat="1" applyFont="1" applyFill="1" applyBorder="1" applyAlignment="1">
      <alignment horizontal="right" wrapText="1"/>
    </xf>
    <xf numFmtId="164" fontId="13" fillId="8" borderId="3" xfId="3" applyNumberFormat="1" applyFont="1" applyFill="1" applyBorder="1" applyAlignment="1">
      <alignment horizontal="right" wrapText="1"/>
    </xf>
    <xf numFmtId="0" fontId="9" fillId="8" borderId="0" xfId="0" applyFont="1" applyFill="1" applyAlignment="1">
      <alignment wrapText="1"/>
    </xf>
    <xf numFmtId="0" fontId="3" fillId="8" borderId="4" xfId="0" applyFont="1" applyFill="1" applyBorder="1"/>
    <xf numFmtId="4" fontId="13" fillId="0" borderId="3" xfId="0" applyNumberFormat="1" applyFont="1" applyFill="1" applyBorder="1" applyAlignment="1">
      <alignment horizontal="right" wrapText="1"/>
    </xf>
    <xf numFmtId="164" fontId="13" fillId="7" borderId="3" xfId="0" applyNumberFormat="1" applyFont="1" applyFill="1" applyBorder="1" applyAlignment="1">
      <alignment horizontal="right" wrapText="1"/>
    </xf>
    <xf numFmtId="4" fontId="13" fillId="2" borderId="3" xfId="0" applyNumberFormat="1" applyFont="1" applyFill="1" applyBorder="1" applyAlignment="1">
      <alignment horizontal="right" wrapText="1"/>
    </xf>
    <xf numFmtId="164" fontId="13" fillId="2" borderId="3" xfId="0" applyNumberFormat="1" applyFont="1" applyFill="1" applyBorder="1" applyAlignment="1">
      <alignment horizontal="right" wrapText="1"/>
    </xf>
    <xf numFmtId="0" fontId="3" fillId="13" borderId="0" xfId="0" applyFont="1" applyFill="1" applyAlignment="1">
      <alignment wrapText="1"/>
    </xf>
    <xf numFmtId="0" fontId="3" fillId="13" borderId="0" xfId="0" applyFont="1" applyFill="1"/>
    <xf numFmtId="166" fontId="6" fillId="5" borderId="3" xfId="0" applyNumberFormat="1" applyFont="1" applyFill="1" applyBorder="1" applyAlignment="1">
      <alignment horizontal="right" wrapText="1"/>
    </xf>
    <xf numFmtId="10" fontId="3" fillId="8" borderId="3" xfId="2" applyNumberFormat="1" applyFont="1" applyFill="1" applyBorder="1" applyAlignment="1"/>
    <xf numFmtId="0" fontId="3" fillId="8" borderId="3" xfId="0" applyFont="1" applyFill="1" applyBorder="1" applyAlignment="1"/>
    <xf numFmtId="164" fontId="3" fillId="8" borderId="3" xfId="0" applyNumberFormat="1" applyFont="1" applyFill="1" applyBorder="1" applyAlignment="1"/>
    <xf numFmtId="0" fontId="9" fillId="11" borderId="0" xfId="0" applyFont="1" applyFill="1"/>
    <xf numFmtId="164" fontId="4" fillId="8" borderId="3" xfId="0" applyNumberFormat="1" applyFont="1" applyFill="1" applyBorder="1"/>
    <xf numFmtId="166" fontId="6" fillId="2" borderId="3" xfId="0" applyNumberFormat="1" applyFont="1" applyFill="1" applyBorder="1" applyAlignment="1">
      <alignment horizontal="right" wrapText="1"/>
    </xf>
    <xf numFmtId="169" fontId="6" fillId="5" borderId="0" xfId="1" applyNumberFormat="1" applyFont="1" applyFill="1" applyBorder="1" applyAlignment="1">
      <alignment wrapText="1"/>
    </xf>
    <xf numFmtId="164" fontId="17" fillId="7" borderId="4" xfId="0" applyNumberFormat="1" applyFont="1" applyFill="1" applyBorder="1"/>
    <xf numFmtId="164" fontId="4" fillId="2" borderId="0" xfId="1" applyNumberFormat="1" applyFont="1" applyFill="1" applyBorder="1"/>
    <xf numFmtId="4" fontId="20" fillId="9" borderId="6" xfId="0" applyNumberFormat="1" applyFont="1" applyFill="1" applyBorder="1" applyAlignment="1">
      <alignment horizontal="right" wrapText="1"/>
    </xf>
    <xf numFmtId="0" fontId="6" fillId="11" borderId="0" xfId="0" applyFont="1" applyFill="1"/>
    <xf numFmtId="4" fontId="6" fillId="7" borderId="4" xfId="1" applyNumberFormat="1" applyFont="1" applyFill="1" applyBorder="1"/>
    <xf numFmtId="4" fontId="3" fillId="2" borderId="4" xfId="1" applyNumberFormat="1" applyFont="1" applyFill="1" applyBorder="1"/>
    <xf numFmtId="4" fontId="6" fillId="2" borderId="4" xfId="1" applyNumberFormat="1" applyFont="1" applyFill="1" applyBorder="1"/>
    <xf numFmtId="0" fontId="21" fillId="7" borderId="3" xfId="3" applyFont="1" applyFill="1" applyBorder="1" applyAlignment="1">
      <alignment horizontal="left" wrapText="1"/>
    </xf>
    <xf numFmtId="49" fontId="13" fillId="7" borderId="3" xfId="3" applyNumberFormat="1" applyFont="1" applyFill="1" applyBorder="1" applyAlignment="1">
      <alignment horizontal="left" wrapText="1"/>
    </xf>
    <xf numFmtId="0" fontId="13" fillId="7" borderId="3" xfId="3" applyFont="1" applyFill="1" applyBorder="1" applyAlignment="1">
      <alignment horizontal="left" wrapText="1"/>
    </xf>
    <xf numFmtId="0" fontId="14" fillId="7" borderId="3" xfId="3" applyFont="1" applyFill="1" applyBorder="1" applyAlignment="1">
      <alignment horizontal="left" wrapText="1"/>
    </xf>
    <xf numFmtId="0" fontId="13" fillId="0" borderId="3" xfId="3" applyFont="1" applyFill="1" applyBorder="1" applyAlignment="1">
      <alignment horizontal="left" wrapText="1"/>
    </xf>
    <xf numFmtId="166" fontId="13" fillId="7" borderId="3" xfId="3" applyNumberFormat="1" applyFont="1" applyFill="1" applyBorder="1" applyAlignment="1">
      <alignment horizontal="left" wrapText="1"/>
    </xf>
    <xf numFmtId="0" fontId="21" fillId="8" borderId="3" xfId="3" applyFont="1" applyFill="1" applyBorder="1" applyAlignment="1">
      <alignment horizontal="left" wrapText="1"/>
    </xf>
    <xf numFmtId="49" fontId="13" fillId="8" borderId="3" xfId="3" applyNumberFormat="1" applyFont="1" applyFill="1" applyBorder="1" applyAlignment="1">
      <alignment horizontal="left" wrapText="1"/>
    </xf>
    <xf numFmtId="0" fontId="13" fillId="2" borderId="3" xfId="3" applyFont="1" applyFill="1" applyBorder="1" applyAlignment="1">
      <alignment horizontal="left" wrapText="1"/>
    </xf>
    <xf numFmtId="0" fontId="14" fillId="2" borderId="3" xfId="3" applyFont="1" applyFill="1" applyBorder="1" applyAlignment="1">
      <alignment horizontal="left" wrapText="1"/>
    </xf>
    <xf numFmtId="166" fontId="13" fillId="2" borderId="3" xfId="3" applyNumberFormat="1" applyFont="1" applyFill="1" applyBorder="1" applyAlignment="1">
      <alignment horizontal="left" wrapText="1"/>
    </xf>
    <xf numFmtId="4" fontId="9" fillId="7" borderId="3" xfId="0" applyNumberFormat="1" applyFont="1" applyFill="1" applyBorder="1" applyAlignment="1"/>
    <xf numFmtId="4" fontId="3" fillId="7" borderId="3" xfId="0" applyNumberFormat="1" applyFont="1" applyFill="1" applyBorder="1" applyAlignment="1"/>
    <xf numFmtId="0" fontId="9" fillId="7" borderId="0" xfId="0" applyFont="1" applyFill="1" applyAlignment="1">
      <alignment wrapText="1"/>
    </xf>
    <xf numFmtId="0" fontId="9" fillId="7" borderId="0" xfId="0" applyFont="1" applyFill="1"/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164" fontId="4" fillId="0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4" fontId="19" fillId="0" borderId="3" xfId="0" applyNumberFormat="1" applyFont="1" applyFill="1" applyBorder="1" applyAlignment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4" fillId="2" borderId="0" xfId="0" applyNumberFormat="1" applyFont="1" applyFill="1"/>
    <xf numFmtId="164" fontId="4" fillId="3" borderId="0" xfId="0" applyNumberFormat="1" applyFont="1" applyFill="1"/>
    <xf numFmtId="169" fontId="3" fillId="0" borderId="0" xfId="0" applyNumberFormat="1" applyFont="1" applyFill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0" borderId="0" xfId="0" applyNumberFormat="1" applyFont="1" applyFill="1" applyBorder="1"/>
    <xf numFmtId="164" fontId="3" fillId="0" borderId="0" xfId="0" applyNumberFormat="1" applyFont="1" applyFill="1" applyBorder="1"/>
    <xf numFmtId="164" fontId="4" fillId="2" borderId="0" xfId="0" applyNumberFormat="1" applyFont="1" applyFill="1" applyBorder="1"/>
    <xf numFmtId="164" fontId="4" fillId="3" borderId="0" xfId="0" applyNumberFormat="1" applyFont="1" applyFill="1" applyBorder="1"/>
    <xf numFmtId="164" fontId="3" fillId="0" borderId="9" xfId="0" applyNumberFormat="1" applyFont="1" applyFill="1" applyBorder="1"/>
    <xf numFmtId="164" fontId="3" fillId="0" borderId="3" xfId="0" applyNumberFormat="1" applyFont="1" applyFill="1" applyBorder="1"/>
    <xf numFmtId="4" fontId="3" fillId="0" borderId="9" xfId="0" applyNumberFormat="1" applyFont="1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" fontId="3" fillId="2" borderId="0" xfId="0" applyNumberFormat="1" applyFont="1" applyFill="1"/>
    <xf numFmtId="4" fontId="3" fillId="5" borderId="0" xfId="0" applyNumberFormat="1" applyFont="1" applyFill="1"/>
    <xf numFmtId="169" fontId="3" fillId="5" borderId="0" xfId="1" applyNumberFormat="1" applyFont="1" applyFill="1"/>
    <xf numFmtId="0" fontId="9" fillId="14" borderId="3" xfId="0" applyFont="1" applyFill="1" applyBorder="1" applyAlignment="1">
      <alignment horizontal="center" wrapText="1"/>
    </xf>
    <xf numFmtId="0" fontId="9" fillId="14" borderId="3" xfId="0" applyFont="1" applyFill="1" applyBorder="1" applyAlignment="1">
      <alignment wrapText="1"/>
    </xf>
    <xf numFmtId="49" fontId="9" fillId="14" borderId="3" xfId="0" applyNumberFormat="1" applyFont="1" applyFill="1" applyBorder="1" applyAlignment="1">
      <alignment horizontal="center" wrapText="1"/>
    </xf>
    <xf numFmtId="0" fontId="3" fillId="14" borderId="3" xfId="0" applyFont="1" applyFill="1" applyBorder="1" applyAlignment="1">
      <alignment wrapText="1"/>
    </xf>
    <xf numFmtId="166" fontId="9" fillId="14" borderId="3" xfId="0" applyNumberFormat="1" applyFont="1" applyFill="1" applyBorder="1" applyAlignment="1">
      <alignment horizontal="right" wrapText="1"/>
    </xf>
    <xf numFmtId="3" fontId="9" fillId="14" borderId="3" xfId="0" applyNumberFormat="1" applyFont="1" applyFill="1" applyBorder="1" applyAlignment="1">
      <alignment wrapText="1"/>
    </xf>
    <xf numFmtId="10" fontId="9" fillId="14" borderId="3" xfId="2" applyNumberFormat="1" applyFont="1" applyFill="1" applyBorder="1" applyAlignment="1"/>
    <xf numFmtId="10" fontId="3" fillId="14" borderId="3" xfId="2" applyNumberFormat="1" applyFont="1" applyFill="1" applyBorder="1" applyAlignment="1"/>
    <xf numFmtId="0" fontId="9" fillId="14" borderId="3" xfId="0" applyFont="1" applyFill="1" applyBorder="1" applyAlignment="1"/>
    <xf numFmtId="164" fontId="9" fillId="14" borderId="3" xfId="0" applyNumberFormat="1" applyFont="1" applyFill="1" applyBorder="1" applyAlignment="1"/>
    <xf numFmtId="167" fontId="10" fillId="14" borderId="3" xfId="0" applyNumberFormat="1" applyFont="1" applyFill="1" applyBorder="1" applyAlignment="1"/>
    <xf numFmtId="164" fontId="11" fillId="14" borderId="3" xfId="0" applyNumberFormat="1" applyFont="1" applyFill="1" applyBorder="1"/>
    <xf numFmtId="4" fontId="11" fillId="14" borderId="3" xfId="0" applyNumberFormat="1" applyFont="1" applyFill="1" applyBorder="1"/>
    <xf numFmtId="164" fontId="11" fillId="14" borderId="3" xfId="1" applyNumberFormat="1" applyFont="1" applyFill="1" applyBorder="1"/>
    <xf numFmtId="164" fontId="11" fillId="14" borderId="4" xfId="1" applyNumberFormat="1" applyFont="1" applyFill="1" applyBorder="1"/>
    <xf numFmtId="164" fontId="4" fillId="14" borderId="4" xfId="1" applyNumberFormat="1" applyFont="1" applyFill="1" applyBorder="1"/>
    <xf numFmtId="4" fontId="3" fillId="14" borderId="4" xfId="0" applyNumberFormat="1" applyFont="1" applyFill="1" applyBorder="1"/>
    <xf numFmtId="4" fontId="9" fillId="14" borderId="4" xfId="0" applyNumberFormat="1" applyFont="1" applyFill="1" applyBorder="1"/>
    <xf numFmtId="0" fontId="9" fillId="14" borderId="4" xfId="0" applyFont="1" applyFill="1" applyBorder="1"/>
    <xf numFmtId="4" fontId="3" fillId="14" borderId="3" xfId="0" applyNumberFormat="1" applyFont="1" applyFill="1" applyBorder="1"/>
    <xf numFmtId="0" fontId="9" fillId="14" borderId="3" xfId="0" applyFont="1" applyFill="1" applyBorder="1"/>
    <xf numFmtId="164" fontId="3" fillId="14" borderId="4" xfId="0" applyNumberFormat="1" applyFont="1" applyFill="1" applyBorder="1"/>
    <xf numFmtId="169" fontId="3" fillId="14" borderId="3" xfId="1" applyNumberFormat="1" applyFont="1" applyFill="1" applyBorder="1"/>
    <xf numFmtId="0" fontId="9" fillId="14" borderId="0" xfId="0" applyFont="1" applyFill="1" applyAlignment="1">
      <alignment wrapText="1"/>
    </xf>
    <xf numFmtId="0" fontId="9" fillId="14" borderId="0" xfId="0" applyFont="1" applyFill="1"/>
    <xf numFmtId="4" fontId="3" fillId="0" borderId="0" xfId="0" applyNumberFormat="1" applyFont="1" applyFill="1"/>
    <xf numFmtId="49" fontId="3" fillId="10" borderId="3" xfId="0" applyNumberFormat="1" applyFont="1" applyFill="1" applyBorder="1" applyAlignment="1">
      <alignment horizontal="center" wrapText="1"/>
    </xf>
    <xf numFmtId="0" fontId="24" fillId="8" borderId="0" xfId="0" applyFont="1" applyFill="1" applyAlignment="1">
      <alignment wrapText="1"/>
    </xf>
    <xf numFmtId="0" fontId="2" fillId="0" borderId="0" xfId="0" applyFont="1" applyFill="1" applyAlignment="1"/>
    <xf numFmtId="0" fontId="15" fillId="7" borderId="6" xfId="0" applyFont="1" applyFill="1" applyBorder="1" applyAlignment="1">
      <alignment horizontal="left" vertical="top" wrapText="1"/>
    </xf>
    <xf numFmtId="0" fontId="15" fillId="7" borderId="6" xfId="0" applyFont="1" applyFill="1" applyBorder="1" applyAlignment="1">
      <alignment horizontal="left" wrapText="1"/>
    </xf>
    <xf numFmtId="4" fontId="15" fillId="7" borderId="6" xfId="0" applyNumberFormat="1" applyFont="1" applyFill="1" applyBorder="1" applyAlignment="1">
      <alignment horizontal="right" wrapText="1"/>
    </xf>
    <xf numFmtId="4" fontId="15" fillId="7" borderId="0" xfId="0" applyNumberFormat="1" applyFont="1" applyFill="1" applyBorder="1" applyAlignment="1">
      <alignment horizontal="right" wrapText="1"/>
    </xf>
    <xf numFmtId="4" fontId="20" fillId="7" borderId="8" xfId="0" applyNumberFormat="1" applyFont="1" applyFill="1" applyBorder="1" applyAlignment="1">
      <alignment horizontal="right" wrapText="1"/>
    </xf>
    <xf numFmtId="4" fontId="20" fillId="7" borderId="0" xfId="0" applyNumberFormat="1" applyFont="1" applyFill="1" applyBorder="1" applyAlignment="1">
      <alignment horizontal="right" vertical="center" wrapText="1"/>
    </xf>
    <xf numFmtId="4" fontId="13" fillId="7" borderId="3" xfId="0" applyNumberFormat="1" applyFont="1" applyFill="1" applyBorder="1" applyAlignment="1">
      <alignment horizontal="right" wrapText="1"/>
    </xf>
    <xf numFmtId="4" fontId="6" fillId="7" borderId="3" xfId="1" applyNumberFormat="1" applyFont="1" applyFill="1" applyBorder="1"/>
    <xf numFmtId="4" fontId="16" fillId="7" borderId="4" xfId="1" applyNumberFormat="1" applyFont="1" applyFill="1" applyBorder="1"/>
    <xf numFmtId="4" fontId="6" fillId="7" borderId="3" xfId="0" applyNumberFormat="1" applyFont="1" applyFill="1" applyBorder="1"/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lennikova/Desktop/&#1042;&#1067;&#1041;&#1054;&#1056;&#1050;&#1040;%20&#1082;&#1088;&#1077;&#1076;&#1080;&#1090;&#1086;&#1074;%20-%202019%20&#1075;&#1086;&#1076;%20(&#1048;&#1085;&#1092;%20&#1076;&#1083;&#1103;%20&#1048;.&#1042;.&#1043;.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май"/>
      <sheetName val="Прогноз май (2)"/>
      <sheetName val="1"/>
      <sheetName val="2"/>
      <sheetName val="Прогноз декабрь"/>
      <sheetName val="Прогноз для И.В.Головк"/>
      <sheetName val="Рабочая"/>
      <sheetName val="28.01.19"/>
      <sheetName val="Расход объема субсидий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СХТ</v>
          </cell>
        </row>
        <row r="2">
          <cell r="A2" t="str">
            <v>Организация АПК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345"/>
  <sheetViews>
    <sheetView tabSelected="1" topLeftCell="A4" workbookViewId="0">
      <selection activeCell="A70" sqref="A70:C71"/>
    </sheetView>
  </sheetViews>
  <sheetFormatPr defaultRowHeight="12.75"/>
  <cols>
    <col min="1" max="1" width="5.140625" style="360" customWidth="1"/>
    <col min="2" max="2" width="21.140625" style="7" customWidth="1"/>
    <col min="3" max="3" width="11.28515625" style="361" bestFit="1" customWidth="1"/>
    <col min="4" max="4" width="14.140625" style="7" customWidth="1"/>
    <col min="5" max="5" width="5.5703125" style="7" hidden="1" customWidth="1"/>
    <col min="6" max="7" width="15" style="7" hidden="1" customWidth="1"/>
    <col min="8" max="8" width="12.42578125" style="7" hidden="1" customWidth="1"/>
    <col min="9" max="9" width="12.42578125" style="7" customWidth="1"/>
    <col min="10" max="10" width="13.140625" style="7" customWidth="1"/>
    <col min="11" max="12" width="5.5703125" style="8" hidden="1" customWidth="1"/>
    <col min="13" max="13" width="3.5703125" style="9" hidden="1" customWidth="1"/>
    <col min="14" max="15" width="5.28515625" style="9" hidden="1" customWidth="1"/>
    <col min="16" max="16" width="2.7109375" style="9" hidden="1" customWidth="1"/>
    <col min="17" max="17" width="11.85546875" style="10" customWidth="1"/>
    <col min="18" max="18" width="16.5703125" style="10" hidden="1" customWidth="1"/>
    <col min="19" max="20" width="12.42578125" style="10" customWidth="1"/>
    <col min="21" max="21" width="15.42578125" style="10" customWidth="1"/>
    <col min="22" max="22" width="13.42578125" style="10" hidden="1" customWidth="1"/>
    <col min="23" max="23" width="12.7109375" style="7" hidden="1" customWidth="1"/>
    <col min="24" max="24" width="13.85546875" style="10" customWidth="1"/>
    <col min="25" max="25" width="14.5703125" style="10" customWidth="1"/>
    <col min="26" max="26" width="15.42578125" style="11" customWidth="1"/>
    <col min="27" max="29" width="13" style="11" hidden="1" customWidth="1"/>
    <col min="30" max="30" width="15.140625" style="11" hidden="1" customWidth="1"/>
    <col min="31" max="31" width="15.42578125" style="11" hidden="1" customWidth="1"/>
    <col min="32" max="32" width="16.5703125" style="12" hidden="1" customWidth="1"/>
    <col min="33" max="33" width="13.85546875" style="12" hidden="1" customWidth="1"/>
    <col min="34" max="35" width="14.85546875" style="12" hidden="1" customWidth="1"/>
    <col min="36" max="37" width="14.85546875" style="13" hidden="1" customWidth="1"/>
    <col min="38" max="38" width="14.85546875" style="14" hidden="1" customWidth="1"/>
    <col min="39" max="39" width="14" style="12" hidden="1" customWidth="1"/>
    <col min="40" max="40" width="10.7109375" style="12" hidden="1" customWidth="1"/>
    <col min="41" max="41" width="11.7109375" style="12" hidden="1" customWidth="1"/>
    <col min="42" max="42" width="10.7109375" style="12" hidden="1" customWidth="1"/>
    <col min="43" max="45" width="13.42578125" style="12" hidden="1" customWidth="1"/>
    <col min="46" max="46" width="13.42578125" style="12" customWidth="1"/>
    <col min="47" max="47" width="14.42578125" style="4" hidden="1" customWidth="1"/>
    <col min="48" max="49" width="12.5703125" style="4" hidden="1" customWidth="1"/>
    <col min="50" max="50" width="12.42578125" style="4" hidden="1" customWidth="1"/>
    <col min="51" max="52" width="13.140625" style="5" hidden="1" customWidth="1"/>
    <col min="53" max="53" width="13.140625" style="6" hidden="1" customWidth="1"/>
    <col min="54" max="54" width="13.7109375" style="4" hidden="1" customWidth="1"/>
    <col min="55" max="55" width="13.28515625" style="4" hidden="1" customWidth="1"/>
    <col min="56" max="56" width="10.5703125" style="4" hidden="1" customWidth="1"/>
    <col min="57" max="57" width="13.5703125" style="4" hidden="1" customWidth="1"/>
    <col min="58" max="58" width="11.28515625" style="4" hidden="1" customWidth="1"/>
    <col min="59" max="61" width="13.7109375" style="4" hidden="1" customWidth="1"/>
    <col min="62" max="62" width="13.140625" style="4" hidden="1" customWidth="1"/>
    <col min="63" max="63" width="13.140625" style="4" customWidth="1"/>
    <col min="64" max="64" width="14.7109375" style="4" hidden="1" customWidth="1"/>
    <col min="65" max="65" width="10.5703125" style="4" hidden="1" customWidth="1"/>
    <col min="66" max="66" width="9.140625" style="4" hidden="1" customWidth="1"/>
    <col min="67" max="67" width="10.85546875" style="4" hidden="1" customWidth="1"/>
    <col min="68" max="69" width="9.140625" style="4" hidden="1" customWidth="1"/>
    <col min="70" max="72" width="0" style="4" hidden="1" customWidth="1"/>
    <col min="73" max="16384" width="9.140625" style="4"/>
  </cols>
  <sheetData>
    <row r="1" spans="1:67" ht="20.25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1"/>
      <c r="AH1" s="1"/>
      <c r="AI1" s="1"/>
      <c r="AJ1" s="2"/>
      <c r="AK1" s="2"/>
      <c r="AL1" s="3"/>
      <c r="AM1" s="1"/>
      <c r="AN1" s="1"/>
      <c r="AO1" s="1"/>
      <c r="AP1" s="1"/>
      <c r="AQ1" s="1"/>
      <c r="AR1" s="1"/>
      <c r="AS1" s="1"/>
      <c r="AT1" s="1"/>
    </row>
    <row r="2" spans="1:67" ht="15" customHeight="1">
      <c r="A2" s="429" t="s">
        <v>476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  <c r="AS2" s="429"/>
      <c r="AT2" s="429"/>
      <c r="AU2" s="429"/>
      <c r="AV2" s="429"/>
      <c r="AW2" s="429"/>
      <c r="AX2" s="429"/>
      <c r="AY2" s="429"/>
      <c r="AZ2" s="429"/>
      <c r="BA2" s="429"/>
      <c r="BB2" s="429"/>
      <c r="BC2" s="429"/>
      <c r="BD2" s="429"/>
      <c r="BE2" s="429"/>
      <c r="BF2" s="429"/>
      <c r="BG2" s="429"/>
      <c r="BH2" s="429"/>
      <c r="BI2" s="429"/>
      <c r="BJ2" s="429"/>
      <c r="BK2" s="429"/>
    </row>
    <row r="3" spans="1:67">
      <c r="A3" s="15"/>
      <c r="B3" s="15"/>
      <c r="C3" s="16"/>
      <c r="D3" s="15"/>
      <c r="E3" s="15"/>
      <c r="F3" s="15"/>
      <c r="G3" s="15"/>
      <c r="H3" s="15"/>
      <c r="I3" s="15"/>
      <c r="J3" s="15"/>
      <c r="Z3" s="17"/>
      <c r="AA3" s="17"/>
      <c r="AB3" s="17"/>
      <c r="AC3" s="17"/>
      <c r="AD3" s="17"/>
      <c r="AE3" s="17"/>
      <c r="AF3" s="17"/>
      <c r="AG3" s="18"/>
      <c r="AH3" s="18"/>
      <c r="AI3" s="18"/>
      <c r="AJ3" s="19"/>
      <c r="AK3" s="19"/>
      <c r="AL3" s="20"/>
      <c r="AM3" s="18"/>
      <c r="AN3" s="18"/>
      <c r="AO3" s="18"/>
      <c r="AP3" s="18"/>
      <c r="AQ3" s="18"/>
      <c r="AR3" s="18"/>
      <c r="AS3" s="18"/>
      <c r="AT3" s="18"/>
      <c r="BJ3" s="4" t="s">
        <v>1</v>
      </c>
    </row>
    <row r="4" spans="1:67" s="32" customFormat="1" ht="229.5">
      <c r="A4" s="423" t="s">
        <v>2</v>
      </c>
      <c r="B4" s="423" t="s">
        <v>3</v>
      </c>
      <c r="C4" s="430" t="s">
        <v>4</v>
      </c>
      <c r="D4" s="423" t="s">
        <v>5</v>
      </c>
      <c r="E4" s="423" t="s">
        <v>6</v>
      </c>
      <c r="F4" s="423" t="s">
        <v>7</v>
      </c>
      <c r="G4" s="423" t="s">
        <v>8</v>
      </c>
      <c r="H4" s="423" t="s">
        <v>9</v>
      </c>
      <c r="I4" s="21" t="s">
        <v>10</v>
      </c>
      <c r="J4" s="423" t="s">
        <v>11</v>
      </c>
      <c r="K4" s="22"/>
      <c r="L4" s="22"/>
      <c r="M4" s="23"/>
      <c r="N4" s="23"/>
      <c r="O4" s="23" t="s">
        <v>12</v>
      </c>
      <c r="P4" s="23"/>
      <c r="Q4" s="419" t="s">
        <v>13</v>
      </c>
      <c r="R4" s="23" t="s">
        <v>14</v>
      </c>
      <c r="S4" s="419" t="s">
        <v>15</v>
      </c>
      <c r="T4" s="419" t="s">
        <v>16</v>
      </c>
      <c r="U4" s="419" t="s">
        <v>17</v>
      </c>
      <c r="V4" s="22" t="s">
        <v>18</v>
      </c>
      <c r="W4" s="23" t="s">
        <v>19</v>
      </c>
      <c r="X4" s="419" t="s">
        <v>20</v>
      </c>
      <c r="Y4" s="419" t="s">
        <v>21</v>
      </c>
      <c r="Z4" s="423" t="s">
        <v>22</v>
      </c>
      <c r="AA4" s="423" t="s">
        <v>23</v>
      </c>
      <c r="AB4" s="21" t="s">
        <v>24</v>
      </c>
      <c r="AC4" s="21" t="s">
        <v>25</v>
      </c>
      <c r="AD4" s="24" t="s">
        <v>26</v>
      </c>
      <c r="AE4" s="425" t="s">
        <v>27</v>
      </c>
      <c r="AF4" s="423" t="s">
        <v>28</v>
      </c>
      <c r="AG4" s="23" t="s">
        <v>29</v>
      </c>
      <c r="AH4" s="25" t="s">
        <v>30</v>
      </c>
      <c r="AI4" s="23" t="s">
        <v>31</v>
      </c>
      <c r="AJ4" s="26" t="s">
        <v>32</v>
      </c>
      <c r="AK4" s="26" t="s">
        <v>33</v>
      </c>
      <c r="AL4" s="26" t="s">
        <v>34</v>
      </c>
      <c r="AM4" s="27" t="s">
        <v>35</v>
      </c>
      <c r="AN4" s="26" t="s">
        <v>36</v>
      </c>
      <c r="AO4" s="26" t="s">
        <v>37</v>
      </c>
      <c r="AP4" s="26" t="s">
        <v>38</v>
      </c>
      <c r="AQ4" s="28" t="s">
        <v>39</v>
      </c>
      <c r="AR4" s="28" t="s">
        <v>40</v>
      </c>
      <c r="AS4" s="427" t="s">
        <v>474</v>
      </c>
      <c r="AT4" s="427" t="s">
        <v>463</v>
      </c>
      <c r="AU4" s="422" t="s">
        <v>41</v>
      </c>
      <c r="AV4" s="29" t="s">
        <v>42</v>
      </c>
      <c r="AW4" s="25" t="s">
        <v>43</v>
      </c>
      <c r="AX4" s="29" t="s">
        <v>44</v>
      </c>
      <c r="AY4" s="30" t="s">
        <v>45</v>
      </c>
      <c r="AZ4" s="30" t="s">
        <v>46</v>
      </c>
      <c r="BA4" s="30" t="s">
        <v>47</v>
      </c>
      <c r="BB4" s="27" t="s">
        <v>48</v>
      </c>
      <c r="BC4" s="422" t="s">
        <v>49</v>
      </c>
      <c r="BD4" s="26" t="s">
        <v>50</v>
      </c>
      <c r="BE4" s="26" t="s">
        <v>51</v>
      </c>
      <c r="BF4" s="26" t="s">
        <v>52</v>
      </c>
      <c r="BG4" s="421" t="s">
        <v>53</v>
      </c>
      <c r="BH4" s="26" t="s">
        <v>54</v>
      </c>
      <c r="BI4" s="28" t="s">
        <v>464</v>
      </c>
      <c r="BJ4" s="422" t="s">
        <v>475</v>
      </c>
      <c r="BK4" s="423" t="s">
        <v>465</v>
      </c>
      <c r="BL4" s="31" t="s">
        <v>55</v>
      </c>
      <c r="BO4" s="32" t="s">
        <v>466</v>
      </c>
    </row>
    <row r="5" spans="1:67" s="32" customFormat="1" ht="49.5" customHeight="1">
      <c r="A5" s="424"/>
      <c r="B5" s="424"/>
      <c r="C5" s="431"/>
      <c r="D5" s="424"/>
      <c r="E5" s="424"/>
      <c r="F5" s="424"/>
      <c r="G5" s="424"/>
      <c r="H5" s="424"/>
      <c r="I5" s="33"/>
      <c r="J5" s="424"/>
      <c r="K5" s="22"/>
      <c r="L5" s="22"/>
      <c r="M5" s="23"/>
      <c r="N5" s="23"/>
      <c r="O5" s="23"/>
      <c r="P5" s="23"/>
      <c r="Q5" s="420"/>
      <c r="R5" s="23"/>
      <c r="S5" s="420"/>
      <c r="T5" s="420"/>
      <c r="U5" s="420"/>
      <c r="V5" s="22"/>
      <c r="W5" s="23"/>
      <c r="X5" s="420"/>
      <c r="Y5" s="420"/>
      <c r="Z5" s="424"/>
      <c r="AA5" s="424"/>
      <c r="AB5" s="34"/>
      <c r="AC5" s="33"/>
      <c r="AD5" s="33"/>
      <c r="AE5" s="426"/>
      <c r="AF5" s="424"/>
      <c r="AG5" s="22"/>
      <c r="AH5" s="23"/>
      <c r="AI5" s="23"/>
      <c r="AJ5" s="26"/>
      <c r="AK5" s="26"/>
      <c r="AL5" s="35"/>
      <c r="AM5" s="23"/>
      <c r="AN5" s="23"/>
      <c r="AO5" s="23"/>
      <c r="AP5" s="23"/>
      <c r="AQ5" s="23"/>
      <c r="AR5" s="23"/>
      <c r="AS5" s="428"/>
      <c r="AT5" s="428"/>
      <c r="AU5" s="422"/>
      <c r="AV5" s="29"/>
      <c r="AW5" s="29"/>
      <c r="AX5" s="29"/>
      <c r="AY5" s="30"/>
      <c r="AZ5" s="30"/>
      <c r="BA5" s="36"/>
      <c r="BB5" s="23"/>
      <c r="BC5" s="422"/>
      <c r="BD5" s="23"/>
      <c r="BG5" s="421"/>
      <c r="BH5" s="29"/>
      <c r="BI5" s="29"/>
      <c r="BJ5" s="422"/>
      <c r="BK5" s="424"/>
      <c r="BL5" s="23"/>
    </row>
    <row r="6" spans="1:67" s="46" customFormat="1">
      <c r="A6" s="37">
        <v>1</v>
      </c>
      <c r="B6" s="37">
        <v>2</v>
      </c>
      <c r="C6" s="37" t="s">
        <v>56</v>
      </c>
      <c r="D6" s="37">
        <v>4</v>
      </c>
      <c r="E6" s="37"/>
      <c r="F6" s="37"/>
      <c r="G6" s="37"/>
      <c r="H6" s="37">
        <v>5</v>
      </c>
      <c r="I6" s="37">
        <v>5</v>
      </c>
      <c r="J6" s="37">
        <v>6</v>
      </c>
      <c r="K6" s="38"/>
      <c r="L6" s="38"/>
      <c r="M6" s="38"/>
      <c r="N6" s="38"/>
      <c r="O6" s="38"/>
      <c r="P6" s="38"/>
      <c r="Q6" s="38">
        <v>7</v>
      </c>
      <c r="R6" s="38" t="s">
        <v>57</v>
      </c>
      <c r="S6" s="38">
        <v>8</v>
      </c>
      <c r="T6" s="38" t="s">
        <v>58</v>
      </c>
      <c r="U6" s="38" t="s">
        <v>59</v>
      </c>
      <c r="V6" s="38" t="s">
        <v>57</v>
      </c>
      <c r="W6" s="38">
        <v>11</v>
      </c>
      <c r="X6" s="38">
        <v>11</v>
      </c>
      <c r="Y6" s="38">
        <v>12</v>
      </c>
      <c r="Z6" s="38">
        <v>13</v>
      </c>
      <c r="AA6" s="38">
        <v>14</v>
      </c>
      <c r="AB6" s="38">
        <v>14</v>
      </c>
      <c r="AC6" s="38">
        <v>15</v>
      </c>
      <c r="AD6" s="38">
        <v>16</v>
      </c>
      <c r="AE6" s="38" t="s">
        <v>60</v>
      </c>
      <c r="AF6" s="38" t="s">
        <v>60</v>
      </c>
      <c r="AG6" s="39">
        <v>17</v>
      </c>
      <c r="AH6" s="39"/>
      <c r="AI6" s="39"/>
      <c r="AJ6" s="40"/>
      <c r="AK6" s="40"/>
      <c r="AL6" s="41"/>
      <c r="AM6" s="42"/>
      <c r="AN6" s="39"/>
      <c r="AO6" s="39"/>
      <c r="AP6" s="39"/>
      <c r="AQ6" s="39">
        <v>15</v>
      </c>
      <c r="AR6" s="39"/>
      <c r="AS6" s="39" t="s">
        <v>473</v>
      </c>
      <c r="AT6" s="39">
        <v>14</v>
      </c>
      <c r="AU6" s="38">
        <v>18</v>
      </c>
      <c r="AV6" s="43">
        <v>19</v>
      </c>
      <c r="AW6" s="43"/>
      <c r="AX6" s="43"/>
      <c r="AY6" s="44"/>
      <c r="AZ6" s="44"/>
      <c r="BA6" s="45"/>
      <c r="BB6" s="38"/>
      <c r="BC6" s="38"/>
      <c r="BD6" s="38"/>
      <c r="BG6" s="46">
        <v>16</v>
      </c>
      <c r="BJ6" s="38" t="s">
        <v>473</v>
      </c>
      <c r="BK6" s="38">
        <v>15</v>
      </c>
      <c r="BL6" s="38"/>
    </row>
    <row r="7" spans="1:67" s="11" customFormat="1">
      <c r="A7" s="47"/>
      <c r="B7" s="47"/>
      <c r="C7" s="48"/>
      <c r="D7" s="47"/>
      <c r="E7" s="47"/>
      <c r="F7" s="47"/>
      <c r="G7" s="47"/>
      <c r="H7" s="49"/>
      <c r="I7" s="49"/>
      <c r="J7" s="50">
        <f>SUM(J8:J327)</f>
        <v>3882200000</v>
      </c>
      <c r="K7" s="51"/>
      <c r="L7" s="51"/>
      <c r="M7" s="51"/>
      <c r="N7" s="51"/>
      <c r="O7" s="51"/>
      <c r="P7" s="51"/>
      <c r="Q7" s="50">
        <f t="shared" ref="Q7:BL7" si="0">SUM(Q8:Q327)</f>
        <v>158019206.25</v>
      </c>
      <c r="R7" s="51">
        <f t="shared" si="0"/>
        <v>2355160179.0304556</v>
      </c>
      <c r="S7" s="51">
        <v>95863310</v>
      </c>
      <c r="T7" s="51">
        <f>SUM(T8:T327)</f>
        <v>62155896.24999994</v>
      </c>
      <c r="U7" s="52" t="s">
        <v>61</v>
      </c>
      <c r="V7" s="51">
        <f>SUM(V8:V327)</f>
        <v>626840000</v>
      </c>
      <c r="W7" s="51">
        <f>SUM(W8:W327)</f>
        <v>36398290</v>
      </c>
      <c r="X7" s="50">
        <f t="shared" si="0"/>
        <v>1728320179.0304534</v>
      </c>
      <c r="Y7" s="51">
        <f t="shared" si="0"/>
        <v>59465020.000000045</v>
      </c>
      <c r="Z7" s="51">
        <f t="shared" si="0"/>
        <v>1728320179.0304534</v>
      </c>
      <c r="AA7" s="51">
        <f t="shared" si="0"/>
        <v>59465020.00000006</v>
      </c>
      <c r="AB7" s="51">
        <f t="shared" si="0"/>
        <v>34466565.230000004</v>
      </c>
      <c r="AC7" s="51">
        <f t="shared" si="0"/>
        <v>4112188.71</v>
      </c>
      <c r="AD7" s="53">
        <f t="shared" si="0"/>
        <v>18338450.989021912</v>
      </c>
      <c r="AE7" s="53">
        <f t="shared" si="0"/>
        <v>321216518.41163057</v>
      </c>
      <c r="AF7" s="53">
        <f t="shared" si="0"/>
        <v>350708446.05012894</v>
      </c>
      <c r="AG7" s="53">
        <f t="shared" si="0"/>
        <v>675218.13</v>
      </c>
      <c r="AH7" s="53">
        <f t="shared" si="0"/>
        <v>-4129356.95</v>
      </c>
      <c r="AI7" s="53">
        <f t="shared" si="0"/>
        <v>878850</v>
      </c>
      <c r="AJ7" s="54">
        <f t="shared" si="0"/>
        <v>4828460.4799999995</v>
      </c>
      <c r="AK7" s="54">
        <f t="shared" si="0"/>
        <v>27990.78</v>
      </c>
      <c r="AL7" s="54">
        <f t="shared" si="0"/>
        <v>821953.1100000001</v>
      </c>
      <c r="AM7" s="51">
        <f t="shared" si="0"/>
        <v>6976621.5390219036</v>
      </c>
      <c r="AN7" s="51">
        <f t="shared" si="0"/>
        <v>0</v>
      </c>
      <c r="AO7" s="51">
        <f t="shared" si="0"/>
        <v>1913722.15</v>
      </c>
      <c r="AP7" s="51">
        <f t="shared" si="0"/>
        <v>52312.5</v>
      </c>
      <c r="AQ7" s="51">
        <f t="shared" si="0"/>
        <v>4404702.4426726326</v>
      </c>
      <c r="AR7" s="51">
        <f t="shared" si="0"/>
        <v>1926030.14</v>
      </c>
      <c r="AS7" s="51">
        <f t="shared" si="0"/>
        <v>2889404.2718576537</v>
      </c>
      <c r="AT7" s="51">
        <f t="shared" si="0"/>
        <v>10044109.970820324</v>
      </c>
      <c r="AU7" s="51">
        <f t="shared" si="0"/>
        <v>394613635.74849546</v>
      </c>
      <c r="AV7" s="51">
        <f t="shared" si="0"/>
        <v>14520820</v>
      </c>
      <c r="AW7" s="51">
        <f t="shared" si="0"/>
        <v>-88803375.1023729</v>
      </c>
      <c r="AX7" s="51">
        <f t="shared" si="0"/>
        <v>21000000</v>
      </c>
      <c r="AY7" s="51">
        <f t="shared" si="0"/>
        <v>120729999.99999999</v>
      </c>
      <c r="AZ7" s="51">
        <f t="shared" si="0"/>
        <v>930000</v>
      </c>
      <c r="BA7" s="51">
        <f t="shared" si="0"/>
        <v>22479999.995081156</v>
      </c>
      <c r="BB7" s="51">
        <f t="shared" si="0"/>
        <v>126149440.65104164</v>
      </c>
      <c r="BC7" s="51">
        <f t="shared" si="0"/>
        <v>171468424.92219734</v>
      </c>
      <c r="BD7" s="51">
        <f t="shared" si="0"/>
        <v>350000</v>
      </c>
      <c r="BE7" s="51">
        <f t="shared" si="0"/>
        <v>55200000</v>
      </c>
      <c r="BF7" s="51">
        <f t="shared" si="0"/>
        <v>1500000</v>
      </c>
      <c r="BG7" s="51">
        <f t="shared" si="0"/>
        <v>126298310.04079224</v>
      </c>
      <c r="BH7" s="51">
        <f t="shared" si="0"/>
        <v>50188000</v>
      </c>
      <c r="BI7" s="51">
        <f t="shared" si="0"/>
        <v>1920909.1150490036</v>
      </c>
      <c r="BJ7" s="55">
        <f t="shared" si="0"/>
        <v>128417967.63811791</v>
      </c>
      <c r="BK7" s="55">
        <f t="shared" si="0"/>
        <v>448579902.71077979</v>
      </c>
      <c r="BL7" s="55">
        <f t="shared" si="0"/>
        <v>1620588633.8042848</v>
      </c>
    </row>
    <row r="8" spans="1:67" s="81" customFormat="1" ht="21" customHeight="1">
      <c r="A8" s="56">
        <v>1</v>
      </c>
      <c r="B8" s="57" t="s">
        <v>62</v>
      </c>
      <c r="C8" s="58" t="s">
        <v>63</v>
      </c>
      <c r="D8" s="57" t="s">
        <v>64</v>
      </c>
      <c r="E8" s="57" t="s">
        <v>65</v>
      </c>
      <c r="F8" s="59">
        <v>14206</v>
      </c>
      <c r="G8" s="57"/>
      <c r="H8" s="60">
        <v>43497</v>
      </c>
      <c r="I8" s="61" t="s">
        <v>66</v>
      </c>
      <c r="J8" s="62">
        <v>2000000</v>
      </c>
      <c r="K8" s="63">
        <v>7.7499999999999999E-2</v>
      </c>
      <c r="L8" s="63">
        <v>7.4999999999999997E-2</v>
      </c>
      <c r="M8" s="64">
        <v>0.9</v>
      </c>
      <c r="N8" s="65">
        <v>10</v>
      </c>
      <c r="O8" s="65">
        <v>4</v>
      </c>
      <c r="P8" s="64">
        <v>12</v>
      </c>
      <c r="Q8" s="65">
        <f t="shared" ref="Q8:Q15" si="1">J8*K8*M8*N8/P8</f>
        <v>116250</v>
      </c>
      <c r="R8" s="65">
        <f>J8*0.606656065898319</f>
        <v>1213312.131796638</v>
      </c>
      <c r="S8" s="65">
        <f t="shared" ref="S8:S15" si="2">R8*K8*M8*N8/P8</f>
        <v>70523.767660679587</v>
      </c>
      <c r="T8" s="65">
        <f>Q8-S8</f>
        <v>45726.232339320413</v>
      </c>
      <c r="U8" s="66">
        <v>0.606656065898319</v>
      </c>
      <c r="V8" s="65"/>
      <c r="W8" s="64"/>
      <c r="X8" s="65">
        <f t="shared" ref="X8:Y84" si="3">R8-V8</f>
        <v>1213312.131796638</v>
      </c>
      <c r="Y8" s="65">
        <f t="shared" si="3"/>
        <v>70523.767660679587</v>
      </c>
      <c r="Z8" s="67">
        <f>SUM(X8)</f>
        <v>1213312.131796638</v>
      </c>
      <c r="AA8" s="67">
        <f>SUM(Y8)</f>
        <v>70523.767660679587</v>
      </c>
      <c r="AB8" s="67"/>
      <c r="AC8" s="67"/>
      <c r="AD8" s="67">
        <f>AA8-AB8-AC8</f>
        <v>70523.767660679587</v>
      </c>
      <c r="AE8" s="68">
        <v>1213312.131796638</v>
      </c>
      <c r="AF8" s="68">
        <f t="shared" ref="AF8:AF15" si="4">AD8/K8/M8/9*P8</f>
        <v>1348124.5908851533</v>
      </c>
      <c r="AG8" s="68"/>
      <c r="AH8" s="69"/>
      <c r="AI8" s="69"/>
      <c r="AJ8" s="70"/>
      <c r="AK8" s="70"/>
      <c r="AL8" s="71"/>
      <c r="AM8" s="69">
        <f>AD8+AH8-AG8-AI8-AJ8-AK8-AL8</f>
        <v>70523.767660679587</v>
      </c>
      <c r="AN8" s="69"/>
      <c r="AO8" s="69"/>
      <c r="AP8" s="69"/>
      <c r="AQ8" s="69">
        <f>AM8-AN8-AO8-AP8</f>
        <v>70523.767660679587</v>
      </c>
      <c r="AR8" s="69"/>
      <c r="AS8" s="69">
        <f>AQ8-AR8</f>
        <v>70523.767660679587</v>
      </c>
      <c r="AT8" s="69">
        <f>BK8*L8*M8*4/P8</f>
        <v>45000</v>
      </c>
      <c r="AU8" s="72">
        <f t="shared" ref="AU8:AU15" si="5">AD8/K8/M8/8*P8</f>
        <v>1516640.1647457974</v>
      </c>
      <c r="AV8" s="72"/>
      <c r="AW8" s="72"/>
      <c r="AX8" s="73"/>
      <c r="AY8" s="74"/>
      <c r="AZ8" s="74"/>
      <c r="BA8" s="75"/>
      <c r="BB8" s="76">
        <f>AU8-AV8+AW8-AX8-AY8-AZ8-BA8</f>
        <v>1516640.1647457974</v>
      </c>
      <c r="BC8" s="76">
        <f t="shared" ref="BC8:BC15" si="6">AM8/K8/M8/7*P8</f>
        <v>1733303.0454237687</v>
      </c>
      <c r="BD8" s="77"/>
      <c r="BE8" s="77"/>
      <c r="BF8" s="77"/>
      <c r="BG8" s="78">
        <f t="shared" ref="BG8:BG15" si="7">AQ8/K8/M8/6*P8</f>
        <v>2022186.88632773</v>
      </c>
      <c r="BH8" s="78"/>
      <c r="BI8" s="78">
        <f>AS8-AT8</f>
        <v>25523.767660679587</v>
      </c>
      <c r="BJ8" s="79">
        <f>AS8/L8/M8/4*P8</f>
        <v>3134389.6738079814</v>
      </c>
      <c r="BK8" s="79">
        <v>2000000</v>
      </c>
      <c r="BL8" s="79">
        <v>2000000</v>
      </c>
      <c r="BM8" s="80"/>
      <c r="BN8" s="81" t="s">
        <v>64</v>
      </c>
    </row>
    <row r="9" spans="1:67" s="81" customFormat="1" ht="20.25" customHeight="1">
      <c r="A9" s="56">
        <f>A8+1</f>
        <v>2</v>
      </c>
      <c r="B9" s="57" t="s">
        <v>67</v>
      </c>
      <c r="C9" s="58" t="s">
        <v>68</v>
      </c>
      <c r="D9" s="57" t="s">
        <v>64</v>
      </c>
      <c r="E9" s="57" t="s">
        <v>65</v>
      </c>
      <c r="F9" s="59">
        <v>56835</v>
      </c>
      <c r="G9" s="57"/>
      <c r="H9" s="60">
        <v>43497</v>
      </c>
      <c r="I9" s="61" t="s">
        <v>66</v>
      </c>
      <c r="J9" s="62">
        <v>2000000</v>
      </c>
      <c r="K9" s="63">
        <v>7.7499999999999999E-2</v>
      </c>
      <c r="L9" s="63">
        <v>7.4999999999999997E-2</v>
      </c>
      <c r="M9" s="64">
        <v>0.9</v>
      </c>
      <c r="N9" s="65">
        <v>10</v>
      </c>
      <c r="O9" s="65">
        <v>4</v>
      </c>
      <c r="P9" s="64">
        <v>12</v>
      </c>
      <c r="Q9" s="65">
        <f t="shared" si="1"/>
        <v>116250</v>
      </c>
      <c r="R9" s="65">
        <f t="shared" ref="R9:R85" si="8">J9*0.606656065898319</f>
        <v>1213312.131796638</v>
      </c>
      <c r="S9" s="65">
        <f t="shared" si="2"/>
        <v>70523.767660679587</v>
      </c>
      <c r="T9" s="65">
        <f t="shared" ref="T9:T85" si="9">Q9-S9</f>
        <v>45726.232339320413</v>
      </c>
      <c r="U9" s="66">
        <v>0.606656065898319</v>
      </c>
      <c r="V9" s="65"/>
      <c r="W9" s="64"/>
      <c r="X9" s="65">
        <f t="shared" si="3"/>
        <v>1213312.131796638</v>
      </c>
      <c r="Y9" s="65">
        <f t="shared" si="3"/>
        <v>70523.767660679587</v>
      </c>
      <c r="Z9" s="67">
        <f t="shared" ref="Z9:AA84" si="10">SUM(X9)</f>
        <v>1213312.131796638</v>
      </c>
      <c r="AA9" s="67">
        <f t="shared" si="10"/>
        <v>70523.767660679587</v>
      </c>
      <c r="AB9" s="67"/>
      <c r="AC9" s="67"/>
      <c r="AD9" s="67">
        <f>AA9-AB9-AC9</f>
        <v>70523.767660679587</v>
      </c>
      <c r="AE9" s="68">
        <v>1577305.77133563</v>
      </c>
      <c r="AF9" s="68">
        <f t="shared" si="4"/>
        <v>1348124.5908851533</v>
      </c>
      <c r="AG9" s="68"/>
      <c r="AH9" s="69"/>
      <c r="AI9" s="69"/>
      <c r="AJ9" s="70"/>
      <c r="AK9" s="70"/>
      <c r="AL9" s="71"/>
      <c r="AM9" s="69">
        <f t="shared" ref="AM9:AM84" si="11">AD9+AH9-AG9-AI9-AJ9-AK9-AL9</f>
        <v>70523.767660679587</v>
      </c>
      <c r="AN9" s="69"/>
      <c r="AO9" s="69"/>
      <c r="AP9" s="69"/>
      <c r="AQ9" s="69">
        <f t="shared" ref="AQ9:AQ83" si="12">AM9-AN9-AO9-AP9</f>
        <v>70523.767660679587</v>
      </c>
      <c r="AR9" s="69"/>
      <c r="AS9" s="69">
        <f t="shared" ref="AS9:AS72" si="13">AQ9-AR9</f>
        <v>70523.767660679587</v>
      </c>
      <c r="AT9" s="69">
        <f t="shared" ref="AT9:AT72" si="14">BK9*L9*M9*4/P9</f>
        <v>70523.767574999991</v>
      </c>
      <c r="AU9" s="72">
        <f t="shared" si="5"/>
        <v>1516640.1647457974</v>
      </c>
      <c r="AV9" s="72"/>
      <c r="AW9" s="72"/>
      <c r="AX9" s="73"/>
      <c r="AY9" s="74"/>
      <c r="AZ9" s="74"/>
      <c r="BA9" s="75"/>
      <c r="BB9" s="76">
        <f t="shared" ref="BB9:BB84" si="15">AU9-AV9+AW9-AX9-AY9-AZ9-BA9</f>
        <v>1516640.1647457974</v>
      </c>
      <c r="BC9" s="76">
        <f t="shared" si="6"/>
        <v>1733303.0454237687</v>
      </c>
      <c r="BD9" s="77"/>
      <c r="BE9" s="77"/>
      <c r="BF9" s="77"/>
      <c r="BG9" s="78">
        <f t="shared" si="7"/>
        <v>2022186.88632773</v>
      </c>
      <c r="BH9" s="78"/>
      <c r="BI9" s="78">
        <f t="shared" ref="BI9:BI72" si="16">AS9-AT9</f>
        <v>8.5679595940746367E-5</v>
      </c>
      <c r="BJ9" s="79">
        <f t="shared" ref="BJ9:BJ72" si="17">AS9/L9/M9/4*P9</f>
        <v>3134389.6738079814</v>
      </c>
      <c r="BK9" s="79">
        <v>3134389.67</v>
      </c>
      <c r="BL9" s="79">
        <v>2000000</v>
      </c>
      <c r="BM9" s="80"/>
      <c r="BN9" s="81" t="s">
        <v>64</v>
      </c>
    </row>
    <row r="10" spans="1:67" s="81" customFormat="1" ht="25.5">
      <c r="A10" s="56">
        <f>A9+1</f>
        <v>3</v>
      </c>
      <c r="B10" s="57" t="s">
        <v>67</v>
      </c>
      <c r="C10" s="58" t="s">
        <v>69</v>
      </c>
      <c r="D10" s="57" t="s">
        <v>64</v>
      </c>
      <c r="E10" s="57" t="s">
        <v>65</v>
      </c>
      <c r="F10" s="59"/>
      <c r="G10" s="57"/>
      <c r="H10" s="60">
        <v>43709</v>
      </c>
      <c r="I10" s="60">
        <v>43709</v>
      </c>
      <c r="J10" s="62">
        <v>2000000</v>
      </c>
      <c r="K10" s="63">
        <v>7.7499999999999999E-2</v>
      </c>
      <c r="L10" s="63">
        <v>7.4999999999999997E-2</v>
      </c>
      <c r="M10" s="64">
        <v>0.9</v>
      </c>
      <c r="N10" s="65">
        <v>3</v>
      </c>
      <c r="O10" s="65">
        <v>2</v>
      </c>
      <c r="P10" s="64">
        <v>12</v>
      </c>
      <c r="Q10" s="65">
        <f t="shared" si="1"/>
        <v>34875</v>
      </c>
      <c r="R10" s="65">
        <f t="shared" si="8"/>
        <v>1213312.131796638</v>
      </c>
      <c r="S10" s="65">
        <f t="shared" si="2"/>
        <v>21157.130298203876</v>
      </c>
      <c r="T10" s="65">
        <f t="shared" si="9"/>
        <v>13717.869701796124</v>
      </c>
      <c r="U10" s="66">
        <v>0.606656065898319</v>
      </c>
      <c r="V10" s="65"/>
      <c r="W10" s="64"/>
      <c r="X10" s="65">
        <f t="shared" si="3"/>
        <v>1213312.131796638</v>
      </c>
      <c r="Y10" s="65">
        <f t="shared" si="3"/>
        <v>21157.130298203876</v>
      </c>
      <c r="Z10" s="67">
        <f t="shared" si="10"/>
        <v>1213312.131796638</v>
      </c>
      <c r="AA10" s="67">
        <f t="shared" si="10"/>
        <v>21157.130298203876</v>
      </c>
      <c r="AB10" s="67"/>
      <c r="AC10" s="67"/>
      <c r="AD10" s="67">
        <f>AA10-AB10-AC10</f>
        <v>21157.130298203876</v>
      </c>
      <c r="AE10" s="68">
        <v>0</v>
      </c>
      <c r="AF10" s="68">
        <f t="shared" si="4"/>
        <v>404437.37726554601</v>
      </c>
      <c r="AG10" s="68"/>
      <c r="AH10" s="69"/>
      <c r="AI10" s="69"/>
      <c r="AJ10" s="70"/>
      <c r="AK10" s="70"/>
      <c r="AL10" s="71"/>
      <c r="AM10" s="69">
        <f t="shared" si="11"/>
        <v>21157.130298203876</v>
      </c>
      <c r="AN10" s="69"/>
      <c r="AO10" s="69"/>
      <c r="AP10" s="69"/>
      <c r="AQ10" s="69">
        <f t="shared" si="12"/>
        <v>21157.130298203876</v>
      </c>
      <c r="AR10" s="69"/>
      <c r="AS10" s="69">
        <f t="shared" si="13"/>
        <v>21157.130298203876</v>
      </c>
      <c r="AT10" s="69">
        <f t="shared" si="14"/>
        <v>19476.232425000002</v>
      </c>
      <c r="AU10" s="72">
        <f t="shared" si="5"/>
        <v>454992.04942373926</v>
      </c>
      <c r="AV10" s="72"/>
      <c r="AW10" s="72"/>
      <c r="AX10" s="73"/>
      <c r="AY10" s="74"/>
      <c r="AZ10" s="74"/>
      <c r="BA10" s="75"/>
      <c r="BB10" s="76">
        <f t="shared" si="15"/>
        <v>454992.04942373926</v>
      </c>
      <c r="BC10" s="76">
        <f t="shared" si="6"/>
        <v>519990.91362713056</v>
      </c>
      <c r="BD10" s="77"/>
      <c r="BE10" s="77"/>
      <c r="BF10" s="77"/>
      <c r="BG10" s="78">
        <f t="shared" si="7"/>
        <v>606656.06589831901</v>
      </c>
      <c r="BH10" s="78"/>
      <c r="BI10" s="78">
        <f t="shared" si="16"/>
        <v>1680.897873203874</v>
      </c>
      <c r="BJ10" s="79">
        <f t="shared" si="17"/>
        <v>940316.90214239433</v>
      </c>
      <c r="BK10" s="79">
        <f>4000000-BK9</f>
        <v>865610.33000000007</v>
      </c>
      <c r="BL10" s="79">
        <f>AS10/L10/M10/O10*P10</f>
        <v>1880633.8042847887</v>
      </c>
      <c r="BM10" s="80"/>
      <c r="BN10" s="81" t="s">
        <v>64</v>
      </c>
    </row>
    <row r="11" spans="1:67" s="81" customFormat="1" ht="25.5">
      <c r="A11" s="56">
        <f t="shared" ref="A11:A74" si="18">A10+1</f>
        <v>4</v>
      </c>
      <c r="B11" s="57" t="s">
        <v>70</v>
      </c>
      <c r="C11" s="58" t="s">
        <v>71</v>
      </c>
      <c r="D11" s="57" t="s">
        <v>64</v>
      </c>
      <c r="E11" s="57" t="s">
        <v>65</v>
      </c>
      <c r="F11" s="59">
        <v>41227</v>
      </c>
      <c r="G11" s="57"/>
      <c r="H11" s="60">
        <v>43556</v>
      </c>
      <c r="I11" s="60">
        <v>43556</v>
      </c>
      <c r="J11" s="62">
        <v>1500000</v>
      </c>
      <c r="K11" s="63">
        <v>7.7499999999999999E-2</v>
      </c>
      <c r="L11" s="63">
        <v>7.4999999999999997E-2</v>
      </c>
      <c r="M11" s="64">
        <v>0.9</v>
      </c>
      <c r="N11" s="65">
        <v>8</v>
      </c>
      <c r="O11" s="65">
        <v>4</v>
      </c>
      <c r="P11" s="64">
        <v>12</v>
      </c>
      <c r="Q11" s="65">
        <f t="shared" si="1"/>
        <v>69750</v>
      </c>
      <c r="R11" s="65">
        <f t="shared" si="8"/>
        <v>909984.09884747851</v>
      </c>
      <c r="S11" s="65">
        <f t="shared" si="2"/>
        <v>42314.260596407752</v>
      </c>
      <c r="T11" s="65">
        <f t="shared" si="9"/>
        <v>27435.739403592248</v>
      </c>
      <c r="U11" s="66">
        <v>0.606656065898319</v>
      </c>
      <c r="V11" s="65"/>
      <c r="W11" s="64"/>
      <c r="X11" s="65">
        <f t="shared" si="3"/>
        <v>909984.09884747851</v>
      </c>
      <c r="Y11" s="65">
        <f t="shared" si="3"/>
        <v>42314.260596407752</v>
      </c>
      <c r="Z11" s="67">
        <f t="shared" si="10"/>
        <v>909984.09884747851</v>
      </c>
      <c r="AA11" s="67">
        <f t="shared" si="10"/>
        <v>42314.260596407752</v>
      </c>
      <c r="AB11" s="67"/>
      <c r="AC11" s="67"/>
      <c r="AD11" s="67">
        <f t="shared" ref="AD11:AD88" si="19">AA11-AB11-AC11</f>
        <v>42314.260596407752</v>
      </c>
      <c r="AE11" s="68">
        <v>727987.27907798276</v>
      </c>
      <c r="AF11" s="68">
        <f t="shared" si="4"/>
        <v>808874.75453109201</v>
      </c>
      <c r="AG11" s="68"/>
      <c r="AH11" s="69"/>
      <c r="AI11" s="69"/>
      <c r="AJ11" s="70"/>
      <c r="AK11" s="70"/>
      <c r="AL11" s="71"/>
      <c r="AM11" s="69">
        <f t="shared" si="11"/>
        <v>42314.260596407752</v>
      </c>
      <c r="AN11" s="69"/>
      <c r="AO11" s="69"/>
      <c r="AP11" s="69"/>
      <c r="AQ11" s="69">
        <f t="shared" si="12"/>
        <v>42314.260596407752</v>
      </c>
      <c r="AR11" s="69"/>
      <c r="AS11" s="69">
        <f t="shared" si="13"/>
        <v>42314.260596407752</v>
      </c>
      <c r="AT11" s="69">
        <f t="shared" si="14"/>
        <v>33750</v>
      </c>
      <c r="AU11" s="72">
        <f t="shared" si="5"/>
        <v>909984.09884747851</v>
      </c>
      <c r="AV11" s="72"/>
      <c r="AW11" s="72"/>
      <c r="AX11" s="73"/>
      <c r="AY11" s="74"/>
      <c r="AZ11" s="74"/>
      <c r="BA11" s="75"/>
      <c r="BB11" s="76">
        <f t="shared" si="15"/>
        <v>909984.09884747851</v>
      </c>
      <c r="BC11" s="76">
        <f t="shared" si="6"/>
        <v>1039981.8272542611</v>
      </c>
      <c r="BD11" s="77"/>
      <c r="BE11" s="77"/>
      <c r="BF11" s="77"/>
      <c r="BG11" s="78">
        <f t="shared" si="7"/>
        <v>1213312.131796638</v>
      </c>
      <c r="BH11" s="78"/>
      <c r="BI11" s="78">
        <f t="shared" si="16"/>
        <v>8564.260596407752</v>
      </c>
      <c r="BJ11" s="79">
        <f t="shared" si="17"/>
        <v>1880633.8042847887</v>
      </c>
      <c r="BK11" s="79">
        <v>1500000</v>
      </c>
      <c r="BL11" s="79">
        <v>1500000</v>
      </c>
      <c r="BM11" s="82" t="s">
        <v>72</v>
      </c>
      <c r="BN11" s="83" t="s">
        <v>73</v>
      </c>
    </row>
    <row r="12" spans="1:67" s="112" customFormat="1" ht="25.5">
      <c r="A12" s="84">
        <f t="shared" si="18"/>
        <v>5</v>
      </c>
      <c r="B12" s="85" t="s">
        <v>74</v>
      </c>
      <c r="C12" s="86" t="s">
        <v>75</v>
      </c>
      <c r="D12" s="85" t="s">
        <v>64</v>
      </c>
      <c r="E12" s="87" t="s">
        <v>65</v>
      </c>
      <c r="F12" s="119">
        <v>79652</v>
      </c>
      <c r="G12" s="85"/>
      <c r="H12" s="90">
        <v>43525</v>
      </c>
      <c r="I12" s="90">
        <v>43525</v>
      </c>
      <c r="J12" s="91">
        <v>3000000</v>
      </c>
      <c r="K12" s="120">
        <v>7.7499999999999999E-2</v>
      </c>
      <c r="L12" s="121">
        <v>7.4999999999999997E-2</v>
      </c>
      <c r="M12" s="97">
        <v>0.9</v>
      </c>
      <c r="N12" s="95">
        <v>9</v>
      </c>
      <c r="O12" s="95"/>
      <c r="P12" s="97">
        <v>12</v>
      </c>
      <c r="Q12" s="95">
        <f t="shared" si="1"/>
        <v>156937.5</v>
      </c>
      <c r="R12" s="95">
        <f t="shared" si="8"/>
        <v>1819968.197694957</v>
      </c>
      <c r="S12" s="95">
        <f t="shared" si="2"/>
        <v>95207.086341917442</v>
      </c>
      <c r="T12" s="95">
        <f t="shared" si="9"/>
        <v>61730.413658082558</v>
      </c>
      <c r="U12" s="96">
        <v>0.606656065898319</v>
      </c>
      <c r="V12" s="95"/>
      <c r="W12" s="97"/>
      <c r="X12" s="95">
        <f t="shared" si="3"/>
        <v>1819968.197694957</v>
      </c>
      <c r="Y12" s="95">
        <f t="shared" si="3"/>
        <v>95207.086341917442</v>
      </c>
      <c r="Z12" s="98">
        <f t="shared" si="10"/>
        <v>1819968.197694957</v>
      </c>
      <c r="AA12" s="98">
        <f t="shared" si="10"/>
        <v>95207.086341917442</v>
      </c>
      <c r="AB12" s="98">
        <f>174375-31735.7-47432.21</f>
        <v>95207.09</v>
      </c>
      <c r="AC12" s="98"/>
      <c r="AD12" s="98">
        <f t="shared" si="19"/>
        <v>-3.6580825544660911E-3</v>
      </c>
      <c r="AE12" s="100">
        <v>1367923.674467897</v>
      </c>
      <c r="AF12" s="100">
        <f t="shared" si="4"/>
        <v>-6.9927504028025639E-2</v>
      </c>
      <c r="AG12" s="100"/>
      <c r="AH12" s="101"/>
      <c r="AI12" s="101"/>
      <c r="AJ12" s="101"/>
      <c r="AK12" s="101"/>
      <c r="AL12" s="101"/>
      <c r="AM12" s="104">
        <f t="shared" si="11"/>
        <v>-3.6580825544660911E-3</v>
      </c>
      <c r="AN12" s="104"/>
      <c r="AO12" s="104"/>
      <c r="AP12" s="104"/>
      <c r="AQ12" s="104">
        <f t="shared" si="12"/>
        <v>-3.6580825544660911E-3</v>
      </c>
      <c r="AR12" s="104"/>
      <c r="AS12" s="104">
        <f t="shared" si="13"/>
        <v>-3.6580825544660911E-3</v>
      </c>
      <c r="AT12" s="104">
        <f t="shared" si="14"/>
        <v>0</v>
      </c>
      <c r="AU12" s="105">
        <f t="shared" si="5"/>
        <v>-7.866844203152884E-2</v>
      </c>
      <c r="AV12" s="106"/>
      <c r="AW12" s="106"/>
      <c r="AX12" s="107"/>
      <c r="AY12" s="107"/>
      <c r="AZ12" s="107"/>
      <c r="BA12" s="107"/>
      <c r="BB12" s="108">
        <f t="shared" si="15"/>
        <v>-7.866844203152884E-2</v>
      </c>
      <c r="BC12" s="108">
        <f t="shared" si="6"/>
        <v>-8.9906790893175825E-2</v>
      </c>
      <c r="BD12" s="109"/>
      <c r="BE12" s="109"/>
      <c r="BF12" s="109"/>
      <c r="BG12" s="110">
        <f t="shared" si="7"/>
        <v>-0.10489125604203846</v>
      </c>
      <c r="BH12" s="110"/>
      <c r="BI12" s="110">
        <f t="shared" si="16"/>
        <v>-3.6580825544660911E-3</v>
      </c>
      <c r="BJ12" s="116">
        <f t="shared" si="17"/>
        <v>-0.1625814468651596</v>
      </c>
      <c r="BK12" s="116"/>
      <c r="BL12" s="79"/>
      <c r="BM12" s="111"/>
    </row>
    <row r="13" spans="1:67" s="81" customFormat="1" ht="38.25">
      <c r="A13" s="56">
        <f t="shared" si="18"/>
        <v>6</v>
      </c>
      <c r="B13" s="57" t="s">
        <v>74</v>
      </c>
      <c r="C13" s="58" t="s">
        <v>75</v>
      </c>
      <c r="D13" s="56" t="s">
        <v>76</v>
      </c>
      <c r="E13" s="57" t="s">
        <v>65</v>
      </c>
      <c r="F13" s="113"/>
      <c r="G13" s="56"/>
      <c r="H13" s="60">
        <v>43525</v>
      </c>
      <c r="I13" s="61" t="s">
        <v>66</v>
      </c>
      <c r="J13" s="62">
        <v>2000000</v>
      </c>
      <c r="K13" s="63">
        <v>7.7499999999999999E-2</v>
      </c>
      <c r="L13" s="63">
        <v>7.4999999999999997E-2</v>
      </c>
      <c r="M13" s="64">
        <v>0.9</v>
      </c>
      <c r="N13" s="65">
        <v>9</v>
      </c>
      <c r="O13" s="65">
        <v>4</v>
      </c>
      <c r="P13" s="64">
        <v>12</v>
      </c>
      <c r="Q13" s="65">
        <f t="shared" si="1"/>
        <v>104625</v>
      </c>
      <c r="R13" s="65">
        <f t="shared" si="8"/>
        <v>1213312.131796638</v>
      </c>
      <c r="S13" s="65">
        <f t="shared" si="2"/>
        <v>63471.390894611628</v>
      </c>
      <c r="T13" s="65">
        <f t="shared" si="9"/>
        <v>41153.609105388372</v>
      </c>
      <c r="U13" s="66">
        <v>0.606656065898319</v>
      </c>
      <c r="V13" s="65"/>
      <c r="W13" s="64"/>
      <c r="X13" s="65">
        <f t="shared" si="3"/>
        <v>1213312.131796638</v>
      </c>
      <c r="Y13" s="65">
        <f t="shared" si="3"/>
        <v>63471.390894611628</v>
      </c>
      <c r="Z13" s="67">
        <f t="shared" si="10"/>
        <v>1213312.131796638</v>
      </c>
      <c r="AA13" s="67">
        <f t="shared" si="10"/>
        <v>63471.390894611628</v>
      </c>
      <c r="AB13" s="114"/>
      <c r="AC13" s="114"/>
      <c r="AD13" s="67">
        <f t="shared" si="19"/>
        <v>63471.390894611628</v>
      </c>
      <c r="AE13" s="68">
        <v>0</v>
      </c>
      <c r="AF13" s="68">
        <f t="shared" si="4"/>
        <v>1213312.131796638</v>
      </c>
      <c r="AG13" s="68"/>
      <c r="AH13" s="69"/>
      <c r="AI13" s="69"/>
      <c r="AJ13" s="70"/>
      <c r="AK13" s="70"/>
      <c r="AL13" s="71"/>
      <c r="AM13" s="69">
        <f t="shared" si="11"/>
        <v>63471.390894611628</v>
      </c>
      <c r="AN13" s="69"/>
      <c r="AO13" s="69"/>
      <c r="AP13" s="69">
        <v>52312.5</v>
      </c>
      <c r="AQ13" s="69">
        <f t="shared" si="12"/>
        <v>11158.890894611628</v>
      </c>
      <c r="AR13" s="69"/>
      <c r="AS13" s="69">
        <f t="shared" si="13"/>
        <v>11158.890894611628</v>
      </c>
      <c r="AT13" s="69">
        <f t="shared" si="14"/>
        <v>11158.890975</v>
      </c>
      <c r="AU13" s="72">
        <f t="shared" si="5"/>
        <v>1364976.1482712177</v>
      </c>
      <c r="AV13" s="72"/>
      <c r="AW13" s="72"/>
      <c r="AX13" s="73"/>
      <c r="AY13" s="74"/>
      <c r="AZ13" s="74"/>
      <c r="BA13" s="75"/>
      <c r="BB13" s="76">
        <f t="shared" si="15"/>
        <v>1364976.1482712177</v>
      </c>
      <c r="BC13" s="76">
        <f t="shared" si="6"/>
        <v>1559972.7408813918</v>
      </c>
      <c r="BD13" s="77"/>
      <c r="BE13" s="77"/>
      <c r="BF13" s="79">
        <v>1500000</v>
      </c>
      <c r="BG13" s="78">
        <f t="shared" si="7"/>
        <v>319968.19769495708</v>
      </c>
      <c r="BH13" s="78"/>
      <c r="BI13" s="78">
        <f t="shared" si="16"/>
        <v>-8.0388372225570492E-5</v>
      </c>
      <c r="BJ13" s="79">
        <f t="shared" si="17"/>
        <v>495950.70642718347</v>
      </c>
      <c r="BK13" s="79">
        <v>495950.71</v>
      </c>
      <c r="BL13" s="79"/>
      <c r="BM13" s="80"/>
      <c r="BN13" s="56" t="s">
        <v>76</v>
      </c>
    </row>
    <row r="14" spans="1:67" s="112" customFormat="1" ht="25.5">
      <c r="A14" s="84">
        <f t="shared" si="18"/>
        <v>7</v>
      </c>
      <c r="B14" s="85" t="s">
        <v>74</v>
      </c>
      <c r="C14" s="86" t="s">
        <v>75</v>
      </c>
      <c r="D14" s="85" t="s">
        <v>64</v>
      </c>
      <c r="E14" s="87" t="s">
        <v>65</v>
      </c>
      <c r="F14" s="88"/>
      <c r="G14" s="89"/>
      <c r="H14" s="90">
        <v>43525</v>
      </c>
      <c r="I14" s="90">
        <v>43525</v>
      </c>
      <c r="J14" s="91">
        <v>1000000</v>
      </c>
      <c r="K14" s="92">
        <v>7.7499999999999999E-2</v>
      </c>
      <c r="L14" s="63">
        <v>7.4999999999999997E-2</v>
      </c>
      <c r="M14" s="93">
        <v>0.9</v>
      </c>
      <c r="N14" s="94">
        <v>9</v>
      </c>
      <c r="O14" s="95"/>
      <c r="P14" s="97">
        <v>12</v>
      </c>
      <c r="Q14" s="95">
        <f t="shared" si="1"/>
        <v>52312.5</v>
      </c>
      <c r="R14" s="95">
        <f t="shared" si="8"/>
        <v>606656.06589831901</v>
      </c>
      <c r="S14" s="95">
        <f t="shared" si="2"/>
        <v>31735.695447305814</v>
      </c>
      <c r="T14" s="95">
        <f t="shared" si="9"/>
        <v>20576.804552694186</v>
      </c>
      <c r="U14" s="96">
        <v>0.606656065898319</v>
      </c>
      <c r="V14" s="95"/>
      <c r="W14" s="97"/>
      <c r="X14" s="95">
        <f t="shared" si="3"/>
        <v>606656.06589831901</v>
      </c>
      <c r="Y14" s="95">
        <f>S14-W14</f>
        <v>31735.695447305814</v>
      </c>
      <c r="Z14" s="98">
        <f t="shared" si="10"/>
        <v>606656.06589831901</v>
      </c>
      <c r="AA14" s="98">
        <f>SUM(Y14)</f>
        <v>31735.695447305814</v>
      </c>
      <c r="AB14" s="115">
        <v>31735.7</v>
      </c>
      <c r="AC14" s="115"/>
      <c r="AD14" s="98">
        <f>AA14-AB14-AC14</f>
        <v>-4.5526941867137793E-3</v>
      </c>
      <c r="AE14" s="100">
        <v>0</v>
      </c>
      <c r="AF14" s="100">
        <f t="shared" si="4"/>
        <v>-8.702880165761108E-2</v>
      </c>
      <c r="AG14" s="100"/>
      <c r="AH14" s="101"/>
      <c r="AI14" s="101"/>
      <c r="AJ14" s="101"/>
      <c r="AK14" s="101"/>
      <c r="AL14" s="101"/>
      <c r="AM14" s="104">
        <f t="shared" si="11"/>
        <v>-4.5526941867137793E-3</v>
      </c>
      <c r="AN14" s="104"/>
      <c r="AO14" s="104"/>
      <c r="AP14" s="104"/>
      <c r="AQ14" s="104">
        <f t="shared" si="12"/>
        <v>-4.5526941867137793E-3</v>
      </c>
      <c r="AR14" s="104"/>
      <c r="AS14" s="104">
        <f t="shared" si="13"/>
        <v>-4.5526941867137793E-3</v>
      </c>
      <c r="AT14" s="104">
        <f t="shared" si="14"/>
        <v>0</v>
      </c>
      <c r="AU14" s="105">
        <f t="shared" si="5"/>
        <v>-9.7907401864812477E-2</v>
      </c>
      <c r="AV14" s="106"/>
      <c r="AW14" s="106"/>
      <c r="AX14" s="107"/>
      <c r="AY14" s="107"/>
      <c r="AZ14" s="107"/>
      <c r="BA14" s="107"/>
      <c r="BB14" s="108">
        <f t="shared" si="15"/>
        <v>-9.7907401864812477E-2</v>
      </c>
      <c r="BC14" s="108">
        <f t="shared" si="6"/>
        <v>-0.11189417355978568</v>
      </c>
      <c r="BD14" s="109"/>
      <c r="BE14" s="109"/>
      <c r="BF14" s="109"/>
      <c r="BG14" s="110">
        <f t="shared" si="7"/>
        <v>-0.13054320248641663</v>
      </c>
      <c r="BH14" s="110"/>
      <c r="BI14" s="78">
        <f t="shared" si="16"/>
        <v>-4.5526941867137793E-3</v>
      </c>
      <c r="BJ14" s="116">
        <f t="shared" si="17"/>
        <v>-0.20234196385394576</v>
      </c>
      <c r="BK14" s="116"/>
      <c r="BL14" s="116"/>
      <c r="BM14" s="111"/>
    </row>
    <row r="15" spans="1:67" s="81" customFormat="1" ht="25.5">
      <c r="A15" s="56">
        <f t="shared" si="18"/>
        <v>8</v>
      </c>
      <c r="B15" s="57" t="s">
        <v>74</v>
      </c>
      <c r="C15" s="58" t="s">
        <v>75</v>
      </c>
      <c r="D15" s="57" t="s">
        <v>64</v>
      </c>
      <c r="E15" s="57" t="s">
        <v>65</v>
      </c>
      <c r="F15" s="59"/>
      <c r="G15" s="57"/>
      <c r="H15" s="60">
        <v>43617</v>
      </c>
      <c r="I15" s="60">
        <v>43617</v>
      </c>
      <c r="J15" s="62">
        <v>3000000</v>
      </c>
      <c r="K15" s="63">
        <v>7.7499999999999999E-2</v>
      </c>
      <c r="L15" s="63">
        <v>7.4999999999999997E-2</v>
      </c>
      <c r="M15" s="64">
        <v>0.9</v>
      </c>
      <c r="N15" s="65">
        <v>6</v>
      </c>
      <c r="O15" s="65">
        <v>4</v>
      </c>
      <c r="P15" s="64">
        <v>12</v>
      </c>
      <c r="Q15" s="65">
        <f t="shared" si="1"/>
        <v>104625</v>
      </c>
      <c r="R15" s="65">
        <f t="shared" si="8"/>
        <v>1819968.197694957</v>
      </c>
      <c r="S15" s="65">
        <f t="shared" si="2"/>
        <v>63471.390894611628</v>
      </c>
      <c r="T15" s="65">
        <f t="shared" si="9"/>
        <v>41153.609105388372</v>
      </c>
      <c r="U15" s="66">
        <v>0.606656065898319</v>
      </c>
      <c r="V15" s="65"/>
      <c r="W15" s="64"/>
      <c r="X15" s="65">
        <f t="shared" si="3"/>
        <v>1819968.197694957</v>
      </c>
      <c r="Y15" s="65">
        <f t="shared" si="3"/>
        <v>63471.390894611628</v>
      </c>
      <c r="Z15" s="67">
        <f t="shared" si="10"/>
        <v>1819968.197694957</v>
      </c>
      <c r="AA15" s="67">
        <f t="shared" si="10"/>
        <v>63471.390894611628</v>
      </c>
      <c r="AB15" s="114">
        <v>47432.21</v>
      </c>
      <c r="AC15" s="114"/>
      <c r="AD15" s="67">
        <f t="shared" si="19"/>
        <v>16039.180894611629</v>
      </c>
      <c r="AE15" s="68">
        <v>0</v>
      </c>
      <c r="AF15" s="68">
        <f t="shared" si="4"/>
        <v>306603.21901288658</v>
      </c>
      <c r="AG15" s="68"/>
      <c r="AH15" s="69"/>
      <c r="AI15" s="69"/>
      <c r="AJ15" s="70"/>
      <c r="AK15" s="70"/>
      <c r="AL15" s="71"/>
      <c r="AM15" s="69">
        <f t="shared" si="11"/>
        <v>16039.180894611629</v>
      </c>
      <c r="AN15" s="69"/>
      <c r="AO15" s="69"/>
      <c r="AP15" s="69"/>
      <c r="AQ15" s="69">
        <f t="shared" si="12"/>
        <v>16039.180894611629</v>
      </c>
      <c r="AR15" s="69"/>
      <c r="AS15" s="69">
        <f t="shared" si="13"/>
        <v>16039.180894611629</v>
      </c>
      <c r="AT15" s="69">
        <f t="shared" si="14"/>
        <v>16039.1808</v>
      </c>
      <c r="AU15" s="72">
        <f t="shared" si="5"/>
        <v>344928.62138949742</v>
      </c>
      <c r="AV15" s="72"/>
      <c r="AW15" s="72"/>
      <c r="AX15" s="73"/>
      <c r="AY15" s="74"/>
      <c r="AZ15" s="74"/>
      <c r="BA15" s="75"/>
      <c r="BB15" s="76">
        <f t="shared" si="15"/>
        <v>344928.62138949742</v>
      </c>
      <c r="BC15" s="76">
        <f t="shared" si="6"/>
        <v>394204.13873085426</v>
      </c>
      <c r="BD15" s="77"/>
      <c r="BE15" s="77"/>
      <c r="BF15" s="77"/>
      <c r="BG15" s="78">
        <f t="shared" si="7"/>
        <v>459904.82851932989</v>
      </c>
      <c r="BH15" s="78"/>
      <c r="BI15" s="78">
        <f t="shared" si="16"/>
        <v>9.4611628810525872E-5</v>
      </c>
      <c r="BJ15" s="79">
        <f t="shared" si="17"/>
        <v>712852.48420496122</v>
      </c>
      <c r="BK15" s="79">
        <v>712852.47999999998</v>
      </c>
      <c r="BL15" s="79"/>
      <c r="BM15" s="80"/>
      <c r="BN15" s="81" t="s">
        <v>64</v>
      </c>
    </row>
    <row r="16" spans="1:67" s="81" customFormat="1" hidden="1">
      <c r="A16" s="56"/>
      <c r="B16" s="117" t="s">
        <v>77</v>
      </c>
      <c r="C16" s="118" t="s">
        <v>78</v>
      </c>
      <c r="D16" s="57"/>
      <c r="E16" s="57" t="s">
        <v>65</v>
      </c>
      <c r="F16" s="59"/>
      <c r="G16" s="57"/>
      <c r="H16" s="60"/>
      <c r="I16" s="60"/>
      <c r="J16" s="62"/>
      <c r="K16" s="63"/>
      <c r="L16" s="63">
        <v>7.4999999999999997E-2</v>
      </c>
      <c r="M16" s="64">
        <v>0.9</v>
      </c>
      <c r="N16" s="65">
        <v>6</v>
      </c>
      <c r="O16" s="65">
        <v>4</v>
      </c>
      <c r="P16" s="64">
        <v>12</v>
      </c>
      <c r="Q16" s="65"/>
      <c r="R16" s="65"/>
      <c r="S16" s="65"/>
      <c r="T16" s="65"/>
      <c r="U16" s="66"/>
      <c r="V16" s="65"/>
      <c r="W16" s="64"/>
      <c r="X16" s="65"/>
      <c r="Y16" s="65"/>
      <c r="Z16" s="67"/>
      <c r="AA16" s="67"/>
      <c r="AB16" s="114"/>
      <c r="AC16" s="114"/>
      <c r="AD16" s="67"/>
      <c r="AE16" s="68"/>
      <c r="AF16" s="68"/>
      <c r="AG16" s="68"/>
      <c r="AH16" s="69"/>
      <c r="AI16" s="69"/>
      <c r="AJ16" s="70"/>
      <c r="AK16" s="70"/>
      <c r="AL16" s="71"/>
      <c r="AM16" s="69"/>
      <c r="AN16" s="69"/>
      <c r="AO16" s="69"/>
      <c r="AP16" s="69"/>
      <c r="AQ16" s="69"/>
      <c r="AR16" s="69"/>
      <c r="AS16" s="69">
        <f t="shared" si="13"/>
        <v>0</v>
      </c>
      <c r="AT16" s="69">
        <f t="shared" si="14"/>
        <v>0</v>
      </c>
      <c r="AU16" s="72"/>
      <c r="AV16" s="72"/>
      <c r="AW16" s="72"/>
      <c r="AX16" s="73"/>
      <c r="AY16" s="74"/>
      <c r="AZ16" s="74"/>
      <c r="BA16" s="75"/>
      <c r="BB16" s="76"/>
      <c r="BC16" s="76"/>
      <c r="BD16" s="77"/>
      <c r="BE16" s="77"/>
      <c r="BF16" s="77"/>
      <c r="BG16" s="78"/>
      <c r="BH16" s="78"/>
      <c r="BI16" s="78">
        <f t="shared" si="16"/>
        <v>0</v>
      </c>
      <c r="BJ16" s="79">
        <f t="shared" si="17"/>
        <v>0</v>
      </c>
      <c r="BK16" s="79"/>
      <c r="BL16" s="79">
        <v>400000</v>
      </c>
      <c r="BM16" s="82" t="s">
        <v>79</v>
      </c>
      <c r="BN16" s="83" t="s">
        <v>73</v>
      </c>
    </row>
    <row r="17" spans="1:66" s="112" customFormat="1" ht="25.5">
      <c r="A17" s="84">
        <f>A15+1</f>
        <v>9</v>
      </c>
      <c r="B17" s="85" t="s">
        <v>80</v>
      </c>
      <c r="C17" s="86" t="s">
        <v>81</v>
      </c>
      <c r="D17" s="85" t="s">
        <v>64</v>
      </c>
      <c r="E17" s="87" t="s">
        <v>65</v>
      </c>
      <c r="F17" s="119">
        <v>104363</v>
      </c>
      <c r="G17" s="85"/>
      <c r="H17" s="90">
        <v>43497</v>
      </c>
      <c r="I17" s="90">
        <v>43497</v>
      </c>
      <c r="J17" s="91">
        <v>5000000</v>
      </c>
      <c r="K17" s="120">
        <v>7.7499999999999999E-2</v>
      </c>
      <c r="L17" s="121">
        <v>7.4999999999999997E-2</v>
      </c>
      <c r="M17" s="97">
        <v>0.9</v>
      </c>
      <c r="N17" s="95">
        <v>10</v>
      </c>
      <c r="O17" s="95"/>
      <c r="P17" s="97">
        <v>12</v>
      </c>
      <c r="Q17" s="95">
        <f>J17*K17*M17*N17/P17</f>
        <v>290625</v>
      </c>
      <c r="R17" s="95">
        <f t="shared" si="8"/>
        <v>3033280.3294915948</v>
      </c>
      <c r="S17" s="95">
        <f>R17*K17*M17*N17/P17</f>
        <v>176309.41915169894</v>
      </c>
      <c r="T17" s="95">
        <f t="shared" si="9"/>
        <v>114315.58084830106</v>
      </c>
      <c r="U17" s="96">
        <v>0.606656065898319</v>
      </c>
      <c r="V17" s="95">
        <v>6000000</v>
      </c>
      <c r="W17" s="122">
        <v>348750</v>
      </c>
      <c r="X17" s="95">
        <f t="shared" si="3"/>
        <v>-2966719.6705084052</v>
      </c>
      <c r="Y17" s="95">
        <f t="shared" si="3"/>
        <v>-172440.58084830106</v>
      </c>
      <c r="Z17" s="98">
        <f t="shared" si="10"/>
        <v>-2966719.6705084052</v>
      </c>
      <c r="AA17" s="98">
        <f t="shared" si="10"/>
        <v>-172440.58084830106</v>
      </c>
      <c r="AB17" s="98"/>
      <c r="AC17" s="98"/>
      <c r="AD17" s="98">
        <f t="shared" si="19"/>
        <v>-172440.58084830106</v>
      </c>
      <c r="AE17" s="100">
        <v>-2966719.6705084052</v>
      </c>
      <c r="AF17" s="100">
        <f>AD17/K17/M17/9*P17</f>
        <v>-3296355.1894537839</v>
      </c>
      <c r="AG17" s="100"/>
      <c r="AH17" s="101"/>
      <c r="AI17" s="101"/>
      <c r="AJ17" s="101"/>
      <c r="AK17" s="101"/>
      <c r="AL17" s="101"/>
      <c r="AM17" s="104">
        <f t="shared" si="11"/>
        <v>-172440.58084830106</v>
      </c>
      <c r="AN17" s="104"/>
      <c r="AO17" s="104"/>
      <c r="AP17" s="104"/>
      <c r="AQ17" s="104">
        <f t="shared" si="12"/>
        <v>-172440.58084830106</v>
      </c>
      <c r="AR17" s="104"/>
      <c r="AS17" s="104">
        <f t="shared" si="13"/>
        <v>-172440.58084830106</v>
      </c>
      <c r="AT17" s="104">
        <f t="shared" si="14"/>
        <v>0</v>
      </c>
      <c r="AU17" s="105">
        <f>AD17/K17/M17/8*P17</f>
        <v>-3708399.588135507</v>
      </c>
      <c r="AV17" s="106"/>
      <c r="AW17" s="106"/>
      <c r="AX17" s="107"/>
      <c r="AY17" s="107"/>
      <c r="AZ17" s="107"/>
      <c r="BA17" s="107"/>
      <c r="BB17" s="108">
        <f t="shared" si="15"/>
        <v>-3708399.588135507</v>
      </c>
      <c r="BC17" s="108">
        <f t="shared" ref="BC17:BC28" si="20">AM17/K17/M17/7*P17</f>
        <v>-4238170.9578691507</v>
      </c>
      <c r="BD17" s="109"/>
      <c r="BE17" s="109"/>
      <c r="BF17" s="109"/>
      <c r="BG17" s="110">
        <f t="shared" ref="BG17:BG28" si="21">AQ17/K17/M17/6*P17</f>
        <v>-4944532.7841806756</v>
      </c>
      <c r="BH17" s="110"/>
      <c r="BI17" s="78"/>
      <c r="BJ17" s="123">
        <f t="shared" si="17"/>
        <v>-7664025.815480046</v>
      </c>
      <c r="BK17" s="123"/>
      <c r="BL17" s="116"/>
      <c r="BM17" s="111"/>
    </row>
    <row r="18" spans="1:66" s="81" customFormat="1" ht="25.5">
      <c r="A18" s="56">
        <f t="shared" si="18"/>
        <v>10</v>
      </c>
      <c r="B18" s="57" t="s">
        <v>82</v>
      </c>
      <c r="C18" s="58" t="s">
        <v>83</v>
      </c>
      <c r="D18" s="57" t="s">
        <v>64</v>
      </c>
      <c r="E18" s="57" t="s">
        <v>65</v>
      </c>
      <c r="F18" s="59">
        <v>117295</v>
      </c>
      <c r="G18" s="57"/>
      <c r="H18" s="60">
        <v>43497</v>
      </c>
      <c r="I18" s="61" t="s">
        <v>84</v>
      </c>
      <c r="J18" s="62">
        <v>5000000</v>
      </c>
      <c r="K18" s="63">
        <v>7.7499999999999999E-2</v>
      </c>
      <c r="L18" s="63">
        <v>7.4999999999999997E-2</v>
      </c>
      <c r="M18" s="64">
        <v>0.9</v>
      </c>
      <c r="N18" s="65">
        <v>10</v>
      </c>
      <c r="O18" s="65">
        <v>4</v>
      </c>
      <c r="P18" s="64">
        <v>12</v>
      </c>
      <c r="Q18" s="65">
        <f>J18*K18*M18*N18/P18</f>
        <v>290625</v>
      </c>
      <c r="R18" s="65">
        <f t="shared" si="8"/>
        <v>3033280.3294915948</v>
      </c>
      <c r="S18" s="65">
        <f>R18*K18*M18*N18/P18</f>
        <v>176309.41915169894</v>
      </c>
      <c r="T18" s="65">
        <f t="shared" si="9"/>
        <v>114315.58084830106</v>
      </c>
      <c r="U18" s="66">
        <v>0.606656065898319</v>
      </c>
      <c r="V18" s="124">
        <v>3000000</v>
      </c>
      <c r="W18" s="125">
        <v>137590</v>
      </c>
      <c r="X18" s="65">
        <f t="shared" si="3"/>
        <v>33280.329491594806</v>
      </c>
      <c r="Y18" s="65">
        <f t="shared" si="3"/>
        <v>38719.419151698938</v>
      </c>
      <c r="Z18" s="67">
        <f t="shared" si="10"/>
        <v>33280.329491594806</v>
      </c>
      <c r="AA18" s="67">
        <f t="shared" si="10"/>
        <v>38719.419151698938</v>
      </c>
      <c r="AB18" s="67"/>
      <c r="AC18" s="67"/>
      <c r="AD18" s="67">
        <f t="shared" si="19"/>
        <v>38719.419151698938</v>
      </c>
      <c r="AE18" s="68">
        <v>666140.54454535805</v>
      </c>
      <c r="AF18" s="68">
        <f>AD18/K18/M18/9*P18</f>
        <v>740156.16060595331</v>
      </c>
      <c r="AG18" s="68"/>
      <c r="AH18" s="69"/>
      <c r="AI18" s="69"/>
      <c r="AJ18" s="70"/>
      <c r="AK18" s="70"/>
      <c r="AL18" s="71"/>
      <c r="AM18" s="69">
        <f t="shared" si="11"/>
        <v>38719.419151698938</v>
      </c>
      <c r="AN18" s="69"/>
      <c r="AO18" s="69"/>
      <c r="AP18" s="69"/>
      <c r="AQ18" s="69">
        <f t="shared" si="12"/>
        <v>38719.419151698938</v>
      </c>
      <c r="AR18" s="69"/>
      <c r="AS18" s="69">
        <f t="shared" si="13"/>
        <v>38719.419151698938</v>
      </c>
      <c r="AT18" s="69">
        <f t="shared" si="14"/>
        <v>38719.419074999998</v>
      </c>
      <c r="AU18" s="72">
        <f>AD18/K18/M18/8*P18</f>
        <v>832675.68068169756</v>
      </c>
      <c r="AV18" s="72"/>
      <c r="AW18" s="72"/>
      <c r="AX18" s="73"/>
      <c r="AY18" s="74"/>
      <c r="AZ18" s="74"/>
      <c r="BA18" s="75"/>
      <c r="BB18" s="76">
        <f t="shared" si="15"/>
        <v>832675.68068169756</v>
      </c>
      <c r="BC18" s="76">
        <f t="shared" si="20"/>
        <v>951629.34935051145</v>
      </c>
      <c r="BD18" s="77"/>
      <c r="BE18" s="77"/>
      <c r="BF18" s="77"/>
      <c r="BG18" s="78">
        <f t="shared" si="21"/>
        <v>1110234.2409089301</v>
      </c>
      <c r="BH18" s="78"/>
      <c r="BI18" s="78">
        <f t="shared" si="16"/>
        <v>7.6698939665220678E-5</v>
      </c>
      <c r="BJ18" s="79">
        <f t="shared" si="17"/>
        <v>1720863.0734088416</v>
      </c>
      <c r="BK18" s="79">
        <v>1720863.07</v>
      </c>
      <c r="BL18" s="79"/>
      <c r="BM18" s="80"/>
      <c r="BN18" s="81" t="s">
        <v>64</v>
      </c>
    </row>
    <row r="19" spans="1:66" s="81" customFormat="1" ht="25.5">
      <c r="A19" s="56">
        <f t="shared" si="18"/>
        <v>11</v>
      </c>
      <c r="B19" s="57" t="s">
        <v>85</v>
      </c>
      <c r="C19" s="58" t="s">
        <v>86</v>
      </c>
      <c r="D19" s="57" t="s">
        <v>64</v>
      </c>
      <c r="E19" s="57" t="s">
        <v>65</v>
      </c>
      <c r="F19" s="59">
        <v>30596</v>
      </c>
      <c r="G19" s="57"/>
      <c r="H19" s="60">
        <v>43586</v>
      </c>
      <c r="I19" s="60">
        <v>43586</v>
      </c>
      <c r="J19" s="62">
        <v>1500000</v>
      </c>
      <c r="K19" s="63">
        <v>7.7499999999999999E-2</v>
      </c>
      <c r="L19" s="63">
        <v>7.4999999999999997E-2</v>
      </c>
      <c r="M19" s="64">
        <v>0.9</v>
      </c>
      <c r="N19" s="65">
        <v>7</v>
      </c>
      <c r="O19" s="65">
        <v>4</v>
      </c>
      <c r="P19" s="64">
        <v>12</v>
      </c>
      <c r="Q19" s="65">
        <f>J19*K19*M19*N19/P19</f>
        <v>61031.25</v>
      </c>
      <c r="R19" s="65">
        <f t="shared" si="8"/>
        <v>909984.09884747851</v>
      </c>
      <c r="S19" s="65">
        <f>R19*K19*M19*N19/P19</f>
        <v>37024.978021856783</v>
      </c>
      <c r="T19" s="65">
        <f t="shared" si="9"/>
        <v>24006.271978143217</v>
      </c>
      <c r="U19" s="66">
        <v>0.606656065898319</v>
      </c>
      <c r="V19" s="65"/>
      <c r="W19" s="64"/>
      <c r="X19" s="65">
        <f t="shared" si="3"/>
        <v>909984.09884747851</v>
      </c>
      <c r="Y19" s="65">
        <f t="shared" si="3"/>
        <v>37024.978021856783</v>
      </c>
      <c r="Z19" s="67">
        <f t="shared" si="10"/>
        <v>909984.09884747851</v>
      </c>
      <c r="AA19" s="67">
        <f t="shared" si="10"/>
        <v>37024.978021856783</v>
      </c>
      <c r="AB19" s="67"/>
      <c r="AC19" s="67"/>
      <c r="AD19" s="67">
        <f t="shared" si="19"/>
        <v>37024.978021856783</v>
      </c>
      <c r="AE19" s="68">
        <v>636988.86919323495</v>
      </c>
      <c r="AF19" s="68">
        <f>AD19/K19/M19/9*P19</f>
        <v>707765.41021470551</v>
      </c>
      <c r="AG19" s="68"/>
      <c r="AH19" s="69"/>
      <c r="AI19" s="69"/>
      <c r="AJ19" s="70"/>
      <c r="AK19" s="70"/>
      <c r="AL19" s="71"/>
      <c r="AM19" s="69">
        <f t="shared" si="11"/>
        <v>37024.978021856783</v>
      </c>
      <c r="AN19" s="69"/>
      <c r="AO19" s="69"/>
      <c r="AP19" s="69"/>
      <c r="AQ19" s="69">
        <f t="shared" si="12"/>
        <v>37024.978021856783</v>
      </c>
      <c r="AR19" s="69"/>
      <c r="AS19" s="69">
        <f t="shared" si="13"/>
        <v>37024.978021856783</v>
      </c>
      <c r="AT19" s="69">
        <f t="shared" si="14"/>
        <v>33750</v>
      </c>
      <c r="AU19" s="72">
        <f>AD19/K19/M19/8*P19</f>
        <v>796236.0864915438</v>
      </c>
      <c r="AV19" s="72"/>
      <c r="AW19" s="72"/>
      <c r="AX19" s="73"/>
      <c r="AY19" s="74"/>
      <c r="AZ19" s="74"/>
      <c r="BA19" s="75"/>
      <c r="BB19" s="76">
        <f t="shared" si="15"/>
        <v>796236.0864915438</v>
      </c>
      <c r="BC19" s="76">
        <f t="shared" si="20"/>
        <v>909984.09884747851</v>
      </c>
      <c r="BD19" s="77"/>
      <c r="BE19" s="77"/>
      <c r="BF19" s="77"/>
      <c r="BG19" s="78">
        <f t="shared" si="21"/>
        <v>1061648.1153220583</v>
      </c>
      <c r="BH19" s="78"/>
      <c r="BI19" s="78">
        <f t="shared" si="16"/>
        <v>3274.978021856783</v>
      </c>
      <c r="BJ19" s="79">
        <f t="shared" si="17"/>
        <v>1645554.5787491903</v>
      </c>
      <c r="BK19" s="79">
        <v>1500000</v>
      </c>
      <c r="BL19" s="79">
        <v>1500000</v>
      </c>
      <c r="BM19" s="80"/>
      <c r="BN19" s="81" t="s">
        <v>64</v>
      </c>
    </row>
    <row r="20" spans="1:66" s="81" customFormat="1" ht="25.5">
      <c r="A20" s="56">
        <f t="shared" si="18"/>
        <v>12</v>
      </c>
      <c r="B20" s="57" t="s">
        <v>87</v>
      </c>
      <c r="C20" s="58" t="s">
        <v>88</v>
      </c>
      <c r="D20" s="57" t="s">
        <v>64</v>
      </c>
      <c r="E20" s="57" t="s">
        <v>65</v>
      </c>
      <c r="F20" s="59">
        <v>82593</v>
      </c>
      <c r="G20" s="57"/>
      <c r="H20" s="60">
        <v>43556</v>
      </c>
      <c r="I20" s="61" t="s">
        <v>89</v>
      </c>
      <c r="J20" s="62">
        <v>10000000</v>
      </c>
      <c r="K20" s="63">
        <v>7.7499999999999999E-2</v>
      </c>
      <c r="L20" s="63">
        <v>7.4999999999999997E-2</v>
      </c>
      <c r="M20" s="64">
        <v>0.9</v>
      </c>
      <c r="N20" s="65">
        <v>8</v>
      </c>
      <c r="O20" s="65">
        <v>1</v>
      </c>
      <c r="P20" s="64">
        <v>12</v>
      </c>
      <c r="Q20" s="65">
        <f>J20*K20*M20*N20/P20</f>
        <v>465000</v>
      </c>
      <c r="R20" s="65">
        <f t="shared" si="8"/>
        <v>6066560.6589831896</v>
      </c>
      <c r="S20" s="65">
        <f>R20*K20*M20*N20/P20</f>
        <v>282095.07064271829</v>
      </c>
      <c r="T20" s="65">
        <f t="shared" si="9"/>
        <v>182904.92935728171</v>
      </c>
      <c r="U20" s="66">
        <v>0.606656065898319</v>
      </c>
      <c r="V20" s="65"/>
      <c r="W20" s="64"/>
      <c r="X20" s="65">
        <f t="shared" si="3"/>
        <v>6066560.6589831896</v>
      </c>
      <c r="Y20" s="65">
        <f t="shared" si="3"/>
        <v>282095.07064271829</v>
      </c>
      <c r="Z20" s="67">
        <f t="shared" si="10"/>
        <v>6066560.6589831896</v>
      </c>
      <c r="AA20" s="67">
        <f t="shared" si="10"/>
        <v>282095.07064271829</v>
      </c>
      <c r="AB20" s="67"/>
      <c r="AC20" s="67"/>
      <c r="AD20" s="67">
        <f t="shared" si="19"/>
        <v>282095.07064271829</v>
      </c>
      <c r="AE20" s="68">
        <v>4853248.5271865511</v>
      </c>
      <c r="AF20" s="68">
        <f>AD20/K20/M20/9*P20</f>
        <v>5392498.3635406131</v>
      </c>
      <c r="AG20" s="68"/>
      <c r="AH20" s="69"/>
      <c r="AI20" s="69"/>
      <c r="AJ20" s="70"/>
      <c r="AK20" s="70"/>
      <c r="AL20" s="71"/>
      <c r="AM20" s="69">
        <f t="shared" si="11"/>
        <v>282095.07064271829</v>
      </c>
      <c r="AN20" s="69"/>
      <c r="AO20" s="69"/>
      <c r="AP20" s="69"/>
      <c r="AQ20" s="69">
        <f t="shared" si="12"/>
        <v>282095.07064271829</v>
      </c>
      <c r="AR20" s="69"/>
      <c r="AS20" s="69">
        <f t="shared" si="13"/>
        <v>282095.07064271829</v>
      </c>
      <c r="AT20" s="69">
        <f t="shared" si="14"/>
        <v>225000</v>
      </c>
      <c r="AU20" s="72">
        <f>AD20/K20/M20/8*P20</f>
        <v>6066560.6589831896</v>
      </c>
      <c r="AV20" s="72"/>
      <c r="AW20" s="72"/>
      <c r="AX20" s="73"/>
      <c r="AY20" s="74"/>
      <c r="AZ20" s="74"/>
      <c r="BA20" s="75"/>
      <c r="BB20" s="76">
        <f t="shared" si="15"/>
        <v>6066560.6589831896</v>
      </c>
      <c r="BC20" s="76">
        <f t="shared" si="20"/>
        <v>6933212.1816950738</v>
      </c>
      <c r="BD20" s="77"/>
      <c r="BE20" s="77"/>
      <c r="BF20" s="77"/>
      <c r="BG20" s="78">
        <f t="shared" si="21"/>
        <v>8088747.5453109201</v>
      </c>
      <c r="BH20" s="78"/>
      <c r="BI20" s="78">
        <f t="shared" si="16"/>
        <v>57095.070642718289</v>
      </c>
      <c r="BJ20" s="79">
        <f t="shared" si="17"/>
        <v>12537558.695231924</v>
      </c>
      <c r="BK20" s="79">
        <v>10000000</v>
      </c>
      <c r="BL20" s="79">
        <v>10000000</v>
      </c>
      <c r="BM20" s="80"/>
      <c r="BN20" s="81" t="s">
        <v>64</v>
      </c>
    </row>
    <row r="21" spans="1:66" s="81" customFormat="1" ht="25.5">
      <c r="A21" s="56">
        <f t="shared" si="18"/>
        <v>13</v>
      </c>
      <c r="B21" s="57" t="s">
        <v>90</v>
      </c>
      <c r="C21" s="58" t="s">
        <v>91</v>
      </c>
      <c r="D21" s="57" t="s">
        <v>64</v>
      </c>
      <c r="E21" s="57" t="s">
        <v>65</v>
      </c>
      <c r="F21" s="59">
        <v>43282</v>
      </c>
      <c r="G21" s="57"/>
      <c r="H21" s="60">
        <v>43678</v>
      </c>
      <c r="I21" s="60">
        <v>43678</v>
      </c>
      <c r="J21" s="62">
        <v>2000000</v>
      </c>
      <c r="K21" s="63">
        <v>7.7499999999999999E-2</v>
      </c>
      <c r="L21" s="63">
        <v>7.4999999999999997E-2</v>
      </c>
      <c r="M21" s="64">
        <v>0.9</v>
      </c>
      <c r="N21" s="65">
        <v>4</v>
      </c>
      <c r="O21" s="65">
        <v>3</v>
      </c>
      <c r="P21" s="64">
        <v>12</v>
      </c>
      <c r="Q21" s="65">
        <f>J21*K21*M21*N21/P21</f>
        <v>46500</v>
      </c>
      <c r="R21" s="65">
        <f t="shared" si="8"/>
        <v>1213312.131796638</v>
      </c>
      <c r="S21" s="65">
        <f>R21*K21*M21*N21/P21</f>
        <v>28209.507064271835</v>
      </c>
      <c r="T21" s="65">
        <f t="shared" si="9"/>
        <v>18290.492935728165</v>
      </c>
      <c r="U21" s="66">
        <v>0.606656065898319</v>
      </c>
      <c r="V21" s="65"/>
      <c r="W21" s="64"/>
      <c r="X21" s="65">
        <f t="shared" si="3"/>
        <v>1213312.131796638</v>
      </c>
      <c r="Y21" s="65">
        <f t="shared" si="3"/>
        <v>28209.507064271835</v>
      </c>
      <c r="Z21" s="67">
        <f t="shared" si="10"/>
        <v>1213312.131796638</v>
      </c>
      <c r="AA21" s="67">
        <f t="shared" si="10"/>
        <v>28209.507064271835</v>
      </c>
      <c r="AB21" s="67"/>
      <c r="AC21" s="67"/>
      <c r="AD21" s="67">
        <f t="shared" si="19"/>
        <v>28209.507064271835</v>
      </c>
      <c r="AE21" s="68">
        <v>485324.85271865525</v>
      </c>
      <c r="AF21" s="68">
        <f>AD21/K21/M21/9*P21</f>
        <v>539249.83635406138</v>
      </c>
      <c r="AG21" s="68"/>
      <c r="AH21" s="69"/>
      <c r="AI21" s="69"/>
      <c r="AJ21" s="70"/>
      <c r="AK21" s="70"/>
      <c r="AL21" s="71"/>
      <c r="AM21" s="69">
        <f t="shared" si="11"/>
        <v>28209.507064271835</v>
      </c>
      <c r="AN21" s="69"/>
      <c r="AO21" s="69"/>
      <c r="AP21" s="69"/>
      <c r="AQ21" s="69">
        <f t="shared" si="12"/>
        <v>28209.507064271835</v>
      </c>
      <c r="AR21" s="69"/>
      <c r="AS21" s="69">
        <f t="shared" si="13"/>
        <v>28209.507064271835</v>
      </c>
      <c r="AT21" s="69">
        <f t="shared" si="14"/>
        <v>28209.507075000001</v>
      </c>
      <c r="AU21" s="72">
        <f>AD21/K21/M21/8*P21</f>
        <v>606656.06589831901</v>
      </c>
      <c r="AV21" s="72"/>
      <c r="AW21" s="72"/>
      <c r="AX21" s="73"/>
      <c r="AY21" s="74"/>
      <c r="AZ21" s="74"/>
      <c r="BA21" s="75"/>
      <c r="BB21" s="76">
        <f t="shared" si="15"/>
        <v>606656.06589831901</v>
      </c>
      <c r="BC21" s="76">
        <f t="shared" si="20"/>
        <v>693321.21816950745</v>
      </c>
      <c r="BD21" s="77"/>
      <c r="BE21" s="77"/>
      <c r="BF21" s="77"/>
      <c r="BG21" s="78">
        <f t="shared" si="21"/>
        <v>808874.75453109201</v>
      </c>
      <c r="BH21" s="78"/>
      <c r="BI21" s="78">
        <f t="shared" si="16"/>
        <v>-1.0728166671469808E-5</v>
      </c>
      <c r="BJ21" s="79">
        <f t="shared" si="17"/>
        <v>1253755.8695231928</v>
      </c>
      <c r="BK21" s="79">
        <v>1253755.8700000001</v>
      </c>
      <c r="BL21" s="79">
        <v>1500000</v>
      </c>
      <c r="BM21" s="80"/>
      <c r="BN21" s="81" t="s">
        <v>64</v>
      </c>
    </row>
    <row r="22" spans="1:66" s="5" customFormat="1" ht="76.5">
      <c r="A22" s="171"/>
      <c r="B22" s="409" t="s">
        <v>92</v>
      </c>
      <c r="C22" s="410" t="s">
        <v>93</v>
      </c>
      <c r="D22" s="87" t="s">
        <v>64</v>
      </c>
      <c r="E22" s="87" t="s">
        <v>65</v>
      </c>
      <c r="F22" s="173"/>
      <c r="G22" s="87"/>
      <c r="H22" s="174"/>
      <c r="I22" s="174" t="s">
        <v>94</v>
      </c>
      <c r="J22" s="175"/>
      <c r="K22" s="121">
        <v>7.7499999999999999E-2</v>
      </c>
      <c r="L22" s="121">
        <v>7.4999999999999997E-2</v>
      </c>
      <c r="M22" s="176">
        <v>0.9</v>
      </c>
      <c r="N22" s="177">
        <v>7</v>
      </c>
      <c r="O22" s="177"/>
      <c r="P22" s="176">
        <v>12</v>
      </c>
      <c r="Q22" s="177"/>
      <c r="R22" s="177"/>
      <c r="S22" s="177"/>
      <c r="T22" s="177"/>
      <c r="U22" s="178"/>
      <c r="V22" s="177"/>
      <c r="W22" s="176"/>
      <c r="X22" s="177"/>
      <c r="Y22" s="177"/>
      <c r="Z22" s="179"/>
      <c r="AA22" s="179"/>
      <c r="AB22" s="179"/>
      <c r="AC22" s="179"/>
      <c r="AD22" s="179"/>
      <c r="AE22" s="180"/>
      <c r="AF22" s="180"/>
      <c r="AG22" s="180"/>
      <c r="AH22" s="104"/>
      <c r="AI22" s="104"/>
      <c r="AJ22" s="104"/>
      <c r="AK22" s="104"/>
      <c r="AL22" s="104"/>
      <c r="AM22" s="104"/>
      <c r="AN22" s="411">
        <v>0</v>
      </c>
      <c r="AO22" s="412"/>
      <c r="AP22" s="412"/>
      <c r="AQ22" s="104">
        <f t="shared" si="12"/>
        <v>0</v>
      </c>
      <c r="AR22" s="104"/>
      <c r="AS22" s="104">
        <f t="shared" si="13"/>
        <v>0</v>
      </c>
      <c r="AT22" s="104">
        <f t="shared" si="14"/>
        <v>0</v>
      </c>
      <c r="AU22" s="181"/>
      <c r="AV22" s="181"/>
      <c r="AW22" s="181"/>
      <c r="AX22" s="182"/>
      <c r="AY22" s="182"/>
      <c r="AZ22" s="182"/>
      <c r="BA22" s="182"/>
      <c r="BB22" s="108"/>
      <c r="BC22" s="108">
        <f t="shared" si="20"/>
        <v>0</v>
      </c>
      <c r="BD22" s="108">
        <v>350000</v>
      </c>
      <c r="BE22" s="183"/>
      <c r="BF22" s="183"/>
      <c r="BG22" s="110">
        <f t="shared" si="21"/>
        <v>0</v>
      </c>
      <c r="BH22" s="110"/>
      <c r="BI22" s="110">
        <f t="shared" si="16"/>
        <v>0</v>
      </c>
      <c r="BJ22" s="116">
        <f t="shared" si="17"/>
        <v>0</v>
      </c>
      <c r="BK22" s="116"/>
      <c r="BL22" s="79"/>
      <c r="BM22" s="139"/>
      <c r="BN22" s="81" t="s">
        <v>64</v>
      </c>
    </row>
    <row r="23" spans="1:66" s="5" customFormat="1" ht="25.5">
      <c r="A23" s="126">
        <f>A21+1</f>
        <v>14</v>
      </c>
      <c r="B23" s="127" t="s">
        <v>95</v>
      </c>
      <c r="C23" s="140" t="s">
        <v>96</v>
      </c>
      <c r="D23" s="127" t="s">
        <v>97</v>
      </c>
      <c r="E23" s="141" t="s">
        <v>98</v>
      </c>
      <c r="F23" s="128">
        <v>497679</v>
      </c>
      <c r="G23" s="127"/>
      <c r="H23" s="129">
        <v>43647</v>
      </c>
      <c r="I23" s="129">
        <v>43647</v>
      </c>
      <c r="J23" s="130">
        <v>20000000</v>
      </c>
      <c r="K23" s="142">
        <v>7.7499999999999999E-2</v>
      </c>
      <c r="L23" s="63">
        <v>7.4999999999999997E-2</v>
      </c>
      <c r="M23" s="133">
        <v>0.9</v>
      </c>
      <c r="N23" s="131">
        <v>5</v>
      </c>
      <c r="O23" s="131">
        <v>4</v>
      </c>
      <c r="P23" s="133">
        <v>12</v>
      </c>
      <c r="Q23" s="131">
        <f t="shared" ref="Q23:Q28" si="22">J23*K23*M23*N23/P23</f>
        <v>581250</v>
      </c>
      <c r="R23" s="131">
        <f t="shared" si="8"/>
        <v>12133121.317966379</v>
      </c>
      <c r="S23" s="131">
        <f t="shared" ref="S23:S28" si="23">R23*K23*M23*N23/P23</f>
        <v>352618.83830339788</v>
      </c>
      <c r="T23" s="131">
        <f t="shared" si="9"/>
        <v>228631.16169660212</v>
      </c>
      <c r="U23" s="132">
        <v>0.606656065898319</v>
      </c>
      <c r="V23" s="131"/>
      <c r="W23" s="133"/>
      <c r="X23" s="131">
        <f t="shared" si="3"/>
        <v>12133121.317966379</v>
      </c>
      <c r="Y23" s="131">
        <f t="shared" si="3"/>
        <v>352618.83830339788</v>
      </c>
      <c r="Z23" s="134">
        <f t="shared" si="10"/>
        <v>12133121.317966379</v>
      </c>
      <c r="AA23" s="134">
        <f t="shared" si="10"/>
        <v>352618.83830339788</v>
      </c>
      <c r="AB23" s="134"/>
      <c r="AC23" s="134"/>
      <c r="AD23" s="134">
        <f t="shared" si="19"/>
        <v>352618.83830339788</v>
      </c>
      <c r="AE23" s="135">
        <v>7886528.856678145</v>
      </c>
      <c r="AF23" s="135">
        <f t="shared" ref="AF23:AF28" si="24">AD23/K23/M23/9*P23</f>
        <v>6740622.9544257652</v>
      </c>
      <c r="AG23" s="135"/>
      <c r="AH23" s="70"/>
      <c r="AI23" s="70"/>
      <c r="AJ23" s="70"/>
      <c r="AK23" s="70"/>
      <c r="AL23" s="71"/>
      <c r="AM23" s="69">
        <f t="shared" si="11"/>
        <v>352618.83830339788</v>
      </c>
      <c r="AN23" s="69"/>
      <c r="AO23" s="69"/>
      <c r="AP23" s="69"/>
      <c r="AQ23" s="69">
        <f t="shared" si="12"/>
        <v>352618.83830339788</v>
      </c>
      <c r="AR23" s="69"/>
      <c r="AS23" s="69">
        <f t="shared" si="13"/>
        <v>352618.83830339788</v>
      </c>
      <c r="AT23" s="69">
        <f t="shared" si="14"/>
        <v>352618.83832499996</v>
      </c>
      <c r="AU23" s="136">
        <f t="shared" ref="AU23:AU28" si="25">AD23/K23/M23/8*P23</f>
        <v>7583200.8237289861</v>
      </c>
      <c r="AV23" s="136"/>
      <c r="AW23" s="136"/>
      <c r="AX23" s="74"/>
      <c r="AY23" s="74"/>
      <c r="AZ23" s="74"/>
      <c r="BA23" s="75"/>
      <c r="BB23" s="76">
        <f t="shared" si="15"/>
        <v>7583200.8237289861</v>
      </c>
      <c r="BC23" s="76">
        <f t="shared" si="20"/>
        <v>8666515.2271188423</v>
      </c>
      <c r="BD23" s="138"/>
      <c r="BE23" s="138"/>
      <c r="BF23" s="138"/>
      <c r="BG23" s="78">
        <f t="shared" si="21"/>
        <v>10110934.431638649</v>
      </c>
      <c r="BH23" s="78"/>
      <c r="BI23" s="78">
        <f t="shared" si="16"/>
        <v>-2.1602085325866938E-5</v>
      </c>
      <c r="BJ23" s="79">
        <f t="shared" si="17"/>
        <v>15671948.369039906</v>
      </c>
      <c r="BK23" s="79">
        <v>15671948.369999999</v>
      </c>
      <c r="BL23" s="143">
        <v>50000000</v>
      </c>
      <c r="BM23" s="144" t="s">
        <v>99</v>
      </c>
      <c r="BN23" s="145" t="s">
        <v>64</v>
      </c>
    </row>
    <row r="24" spans="1:66" s="5" customFormat="1" ht="25.5">
      <c r="A24" s="126">
        <f t="shared" si="18"/>
        <v>15</v>
      </c>
      <c r="B24" s="127" t="s">
        <v>95</v>
      </c>
      <c r="C24" s="140" t="s">
        <v>96</v>
      </c>
      <c r="D24" s="127" t="s">
        <v>97</v>
      </c>
      <c r="E24" s="141" t="s">
        <v>98</v>
      </c>
      <c r="F24" s="128"/>
      <c r="G24" s="127"/>
      <c r="H24" s="129">
        <v>43770</v>
      </c>
      <c r="I24" s="129">
        <v>43770</v>
      </c>
      <c r="J24" s="130">
        <v>30000000</v>
      </c>
      <c r="K24" s="142">
        <v>7.7499999999999999E-2</v>
      </c>
      <c r="L24" s="63">
        <v>7.4999999999999997E-2</v>
      </c>
      <c r="M24" s="133">
        <v>0.9</v>
      </c>
      <c r="N24" s="131">
        <v>1</v>
      </c>
      <c r="O24" s="131">
        <v>1</v>
      </c>
      <c r="P24" s="133">
        <v>12</v>
      </c>
      <c r="Q24" s="131">
        <f t="shared" si="22"/>
        <v>174375</v>
      </c>
      <c r="R24" s="131">
        <f t="shared" si="8"/>
        <v>18199681.976949569</v>
      </c>
      <c r="S24" s="131">
        <f t="shared" si="23"/>
        <v>105785.65149101937</v>
      </c>
      <c r="T24" s="131">
        <f t="shared" si="9"/>
        <v>68589.348508980635</v>
      </c>
      <c r="U24" s="132">
        <v>0.606656065898319</v>
      </c>
      <c r="V24" s="131"/>
      <c r="W24" s="133"/>
      <c r="X24" s="131">
        <f t="shared" si="3"/>
        <v>18199681.976949569</v>
      </c>
      <c r="Y24" s="131">
        <f t="shared" si="3"/>
        <v>105785.65149101937</v>
      </c>
      <c r="Z24" s="134">
        <f t="shared" si="10"/>
        <v>18199681.976949569</v>
      </c>
      <c r="AA24" s="134">
        <f t="shared" si="10"/>
        <v>105785.65149101937</v>
      </c>
      <c r="AB24" s="146"/>
      <c r="AC24" s="146"/>
      <c r="AD24" s="134">
        <f t="shared" si="19"/>
        <v>105785.65149101937</v>
      </c>
      <c r="AE24" s="135">
        <v>0</v>
      </c>
      <c r="AF24" s="135">
        <f t="shared" si="24"/>
        <v>2022186.88632773</v>
      </c>
      <c r="AG24" s="135"/>
      <c r="AH24" s="70"/>
      <c r="AI24" s="70"/>
      <c r="AJ24" s="70"/>
      <c r="AK24" s="70"/>
      <c r="AL24" s="71"/>
      <c r="AM24" s="69">
        <f t="shared" si="11"/>
        <v>105785.65149101937</v>
      </c>
      <c r="AN24" s="69"/>
      <c r="AO24" s="69"/>
      <c r="AP24" s="69"/>
      <c r="AQ24" s="69">
        <f t="shared" si="12"/>
        <v>105785.65149101937</v>
      </c>
      <c r="AR24" s="69"/>
      <c r="AS24" s="69">
        <f t="shared" si="13"/>
        <v>105785.65149101937</v>
      </c>
      <c r="AT24" s="69">
        <f t="shared" si="14"/>
        <v>105785.65147500001</v>
      </c>
      <c r="AU24" s="136">
        <f t="shared" si="25"/>
        <v>2274960.2471186961</v>
      </c>
      <c r="AV24" s="136"/>
      <c r="AW24" s="136"/>
      <c r="AX24" s="74"/>
      <c r="AY24" s="74"/>
      <c r="AZ24" s="74"/>
      <c r="BA24" s="75"/>
      <c r="BB24" s="76">
        <f t="shared" si="15"/>
        <v>2274960.2471186961</v>
      </c>
      <c r="BC24" s="76">
        <f t="shared" si="20"/>
        <v>2599954.5681356527</v>
      </c>
      <c r="BD24" s="138"/>
      <c r="BE24" s="138"/>
      <c r="BF24" s="138"/>
      <c r="BG24" s="78">
        <f t="shared" si="21"/>
        <v>3033280.3294915948</v>
      </c>
      <c r="BH24" s="78"/>
      <c r="BI24" s="78">
        <f t="shared" si="16"/>
        <v>1.6019359463825822E-5</v>
      </c>
      <c r="BJ24" s="79">
        <f t="shared" si="17"/>
        <v>4701584.5107119717</v>
      </c>
      <c r="BK24" s="79">
        <v>4701584.51</v>
      </c>
      <c r="BL24" s="79"/>
      <c r="BM24" s="147"/>
      <c r="BN24" s="148"/>
    </row>
    <row r="25" spans="1:66" s="81" customFormat="1" ht="25.5">
      <c r="A25" s="56">
        <f t="shared" si="18"/>
        <v>16</v>
      </c>
      <c r="B25" s="57" t="s">
        <v>100</v>
      </c>
      <c r="C25" s="58" t="s">
        <v>101</v>
      </c>
      <c r="D25" s="57" t="s">
        <v>97</v>
      </c>
      <c r="E25" s="57" t="s">
        <v>65</v>
      </c>
      <c r="F25" s="59">
        <v>27537</v>
      </c>
      <c r="G25" s="57"/>
      <c r="H25" s="60">
        <v>43497</v>
      </c>
      <c r="I25" s="61" t="s">
        <v>102</v>
      </c>
      <c r="J25" s="62">
        <v>3000000</v>
      </c>
      <c r="K25" s="63">
        <v>7.7499999999999999E-2</v>
      </c>
      <c r="L25" s="63">
        <v>7.4999999999999997E-2</v>
      </c>
      <c r="M25" s="64">
        <v>0.9</v>
      </c>
      <c r="N25" s="65">
        <v>10</v>
      </c>
      <c r="O25" s="65">
        <v>4</v>
      </c>
      <c r="P25" s="64">
        <v>12</v>
      </c>
      <c r="Q25" s="65">
        <f t="shared" si="22"/>
        <v>174375</v>
      </c>
      <c r="R25" s="65">
        <f t="shared" si="8"/>
        <v>1819968.197694957</v>
      </c>
      <c r="S25" s="65">
        <f t="shared" si="23"/>
        <v>105785.65149101937</v>
      </c>
      <c r="T25" s="65">
        <f t="shared" si="9"/>
        <v>68589.348508980635</v>
      </c>
      <c r="U25" s="66">
        <v>0.606656065898319</v>
      </c>
      <c r="V25" s="65"/>
      <c r="W25" s="64"/>
      <c r="X25" s="65">
        <f t="shared" si="3"/>
        <v>1819968.197694957</v>
      </c>
      <c r="Y25" s="65">
        <f t="shared" si="3"/>
        <v>105785.65149101937</v>
      </c>
      <c r="Z25" s="67">
        <f t="shared" si="10"/>
        <v>1819968.197694957</v>
      </c>
      <c r="AA25" s="67">
        <f t="shared" si="10"/>
        <v>105785.65149101937</v>
      </c>
      <c r="AB25" s="67"/>
      <c r="AC25" s="67"/>
      <c r="AD25" s="67">
        <f t="shared" si="19"/>
        <v>105785.65149101937</v>
      </c>
      <c r="AE25" s="68">
        <v>2365958.6570034437</v>
      </c>
      <c r="AF25" s="68">
        <f t="shared" si="24"/>
        <v>2022186.88632773</v>
      </c>
      <c r="AG25" s="68"/>
      <c r="AH25" s="69"/>
      <c r="AI25" s="69"/>
      <c r="AJ25" s="70"/>
      <c r="AK25" s="70"/>
      <c r="AL25" s="71"/>
      <c r="AM25" s="69">
        <f t="shared" si="11"/>
        <v>105785.65149101937</v>
      </c>
      <c r="AN25" s="69"/>
      <c r="AO25" s="69"/>
      <c r="AP25" s="69"/>
      <c r="AQ25" s="69">
        <f t="shared" si="12"/>
        <v>105785.65149101937</v>
      </c>
      <c r="AR25" s="69"/>
      <c r="AS25" s="69">
        <f t="shared" si="13"/>
        <v>105785.65149101937</v>
      </c>
      <c r="AT25" s="69">
        <f t="shared" si="14"/>
        <v>105785.65147500001</v>
      </c>
      <c r="AU25" s="72">
        <f t="shared" si="25"/>
        <v>2274960.2471186961</v>
      </c>
      <c r="AV25" s="72"/>
      <c r="AW25" s="72"/>
      <c r="AX25" s="73"/>
      <c r="AY25" s="74"/>
      <c r="AZ25" s="74"/>
      <c r="BA25" s="75"/>
      <c r="BB25" s="76">
        <f t="shared" si="15"/>
        <v>2274960.2471186961</v>
      </c>
      <c r="BC25" s="76">
        <f t="shared" si="20"/>
        <v>2599954.5681356527</v>
      </c>
      <c r="BD25" s="77"/>
      <c r="BE25" s="77"/>
      <c r="BF25" s="77"/>
      <c r="BG25" s="78">
        <f t="shared" si="21"/>
        <v>3033280.3294915948</v>
      </c>
      <c r="BH25" s="78"/>
      <c r="BI25" s="78">
        <f t="shared" si="16"/>
        <v>1.6019359463825822E-5</v>
      </c>
      <c r="BJ25" s="79">
        <f t="shared" si="17"/>
        <v>4701584.5107119717</v>
      </c>
      <c r="BK25" s="79">
        <v>4701584.51</v>
      </c>
      <c r="BL25" s="79">
        <v>2500000</v>
      </c>
      <c r="BM25" s="144" t="s">
        <v>99</v>
      </c>
      <c r="BN25" s="145" t="s">
        <v>73</v>
      </c>
    </row>
    <row r="26" spans="1:66" s="81" customFormat="1" ht="25.5">
      <c r="A26" s="56">
        <f t="shared" si="18"/>
        <v>17</v>
      </c>
      <c r="B26" s="57" t="s">
        <v>100</v>
      </c>
      <c r="C26" s="58" t="s">
        <v>101</v>
      </c>
      <c r="D26" s="57" t="s">
        <v>97</v>
      </c>
      <c r="E26" s="57" t="s">
        <v>65</v>
      </c>
      <c r="F26" s="59"/>
      <c r="G26" s="57"/>
      <c r="H26" s="60">
        <v>43709</v>
      </c>
      <c r="I26" s="60">
        <v>43709</v>
      </c>
      <c r="J26" s="62">
        <v>3000000</v>
      </c>
      <c r="K26" s="63">
        <v>7.7499999999999999E-2</v>
      </c>
      <c r="L26" s="63">
        <v>7.4999999999999997E-2</v>
      </c>
      <c r="M26" s="64">
        <v>0.9</v>
      </c>
      <c r="N26" s="65">
        <v>3</v>
      </c>
      <c r="O26" s="65">
        <v>3</v>
      </c>
      <c r="P26" s="64">
        <v>12</v>
      </c>
      <c r="Q26" s="65">
        <f t="shared" si="22"/>
        <v>52312.5</v>
      </c>
      <c r="R26" s="65">
        <f t="shared" si="8"/>
        <v>1819968.197694957</v>
      </c>
      <c r="S26" s="65">
        <f t="shared" si="23"/>
        <v>31735.695447305814</v>
      </c>
      <c r="T26" s="65">
        <f t="shared" si="9"/>
        <v>20576.804552694186</v>
      </c>
      <c r="U26" s="66">
        <v>0.606656065898319</v>
      </c>
      <c r="V26" s="65"/>
      <c r="W26" s="64"/>
      <c r="X26" s="65">
        <f t="shared" si="3"/>
        <v>1819968.197694957</v>
      </c>
      <c r="Y26" s="65">
        <f t="shared" si="3"/>
        <v>31735.695447305814</v>
      </c>
      <c r="Z26" s="67">
        <f t="shared" si="10"/>
        <v>1819968.197694957</v>
      </c>
      <c r="AA26" s="67">
        <f t="shared" si="10"/>
        <v>31735.695447305814</v>
      </c>
      <c r="AB26" s="114"/>
      <c r="AC26" s="114"/>
      <c r="AD26" s="67">
        <f t="shared" si="19"/>
        <v>31735.695447305814</v>
      </c>
      <c r="AE26" s="68">
        <v>0</v>
      </c>
      <c r="AF26" s="68">
        <f t="shared" si="24"/>
        <v>606656.06589831901</v>
      </c>
      <c r="AG26" s="68"/>
      <c r="AH26" s="69"/>
      <c r="AI26" s="69"/>
      <c r="AJ26" s="70"/>
      <c r="AK26" s="70"/>
      <c r="AL26" s="71"/>
      <c r="AM26" s="69">
        <f t="shared" si="11"/>
        <v>31735.695447305814</v>
      </c>
      <c r="AN26" s="69"/>
      <c r="AO26" s="69"/>
      <c r="AP26" s="69"/>
      <c r="AQ26" s="69">
        <f t="shared" si="12"/>
        <v>31735.695447305814</v>
      </c>
      <c r="AR26" s="69"/>
      <c r="AS26" s="69">
        <f t="shared" si="13"/>
        <v>31735.695447305814</v>
      </c>
      <c r="AT26" s="69">
        <f t="shared" si="14"/>
        <v>29214.348525000005</v>
      </c>
      <c r="AU26" s="72">
        <f t="shared" si="25"/>
        <v>682488.07413560885</v>
      </c>
      <c r="AV26" s="72"/>
      <c r="AW26" s="72"/>
      <c r="AX26" s="73"/>
      <c r="AY26" s="74"/>
      <c r="AZ26" s="74"/>
      <c r="BA26" s="75"/>
      <c r="BB26" s="76">
        <f t="shared" si="15"/>
        <v>682488.07413560885</v>
      </c>
      <c r="BC26" s="76">
        <f t="shared" si="20"/>
        <v>779986.3704406959</v>
      </c>
      <c r="BD26" s="77"/>
      <c r="BE26" s="77"/>
      <c r="BF26" s="77"/>
      <c r="BG26" s="78">
        <f t="shared" si="21"/>
        <v>909984.09884747851</v>
      </c>
      <c r="BH26" s="78"/>
      <c r="BI26" s="78">
        <f t="shared" si="16"/>
        <v>2521.3469223058091</v>
      </c>
      <c r="BJ26" s="79">
        <f t="shared" si="17"/>
        <v>1410475.3532135917</v>
      </c>
      <c r="BK26" s="79">
        <f>6000000-BK25</f>
        <v>1298415.4900000002</v>
      </c>
      <c r="BL26" s="79"/>
      <c r="BM26" s="147"/>
      <c r="BN26" s="148"/>
    </row>
    <row r="27" spans="1:66" s="112" customFormat="1" ht="25.5">
      <c r="A27" s="84">
        <f t="shared" si="18"/>
        <v>18</v>
      </c>
      <c r="B27" s="85" t="s">
        <v>103</v>
      </c>
      <c r="C27" s="86" t="s">
        <v>104</v>
      </c>
      <c r="D27" s="85" t="s">
        <v>97</v>
      </c>
      <c r="E27" s="87" t="s">
        <v>65</v>
      </c>
      <c r="F27" s="88">
        <v>43650</v>
      </c>
      <c r="G27" s="89"/>
      <c r="H27" s="90">
        <v>43497</v>
      </c>
      <c r="I27" s="90">
        <v>43497</v>
      </c>
      <c r="J27" s="91">
        <v>4000000</v>
      </c>
      <c r="K27" s="120">
        <v>7.7499999999999999E-2</v>
      </c>
      <c r="L27" s="121">
        <v>7.4999999999999997E-2</v>
      </c>
      <c r="M27" s="97">
        <v>0.9</v>
      </c>
      <c r="N27" s="95">
        <v>10</v>
      </c>
      <c r="O27" s="95"/>
      <c r="P27" s="97">
        <v>12</v>
      </c>
      <c r="Q27" s="95">
        <f t="shared" si="22"/>
        <v>232500</v>
      </c>
      <c r="R27" s="95">
        <f t="shared" si="8"/>
        <v>2426624.263593276</v>
      </c>
      <c r="S27" s="95">
        <f t="shared" si="23"/>
        <v>141047.53532135917</v>
      </c>
      <c r="T27" s="95">
        <f t="shared" si="9"/>
        <v>91452.464678640827</v>
      </c>
      <c r="U27" s="96">
        <v>0.606656065898319</v>
      </c>
      <c r="V27" s="149">
        <v>7240000</v>
      </c>
      <c r="W27" s="122">
        <f>420825-W28</f>
        <v>350301.23</v>
      </c>
      <c r="X27" s="95">
        <f t="shared" si="3"/>
        <v>-4813375.736406724</v>
      </c>
      <c r="Y27" s="95">
        <f t="shared" si="3"/>
        <v>-209253.69467864081</v>
      </c>
      <c r="Z27" s="98">
        <f t="shared" si="10"/>
        <v>-4813375.736406724</v>
      </c>
      <c r="AA27" s="98">
        <f t="shared" si="10"/>
        <v>-209253.69467864081</v>
      </c>
      <c r="AB27" s="98"/>
      <c r="AC27" s="98"/>
      <c r="AD27" s="98">
        <f t="shared" si="19"/>
        <v>-209253.69467864081</v>
      </c>
      <c r="AE27" s="100">
        <v>-3600063.6046100855</v>
      </c>
      <c r="AF27" s="100">
        <f t="shared" si="24"/>
        <v>-4000070.627070792</v>
      </c>
      <c r="AG27" s="100"/>
      <c r="AH27" s="101"/>
      <c r="AI27" s="101"/>
      <c r="AJ27" s="101"/>
      <c r="AK27" s="101"/>
      <c r="AL27" s="101"/>
      <c r="AM27" s="104">
        <f t="shared" si="11"/>
        <v>-209253.69467864081</v>
      </c>
      <c r="AN27" s="104"/>
      <c r="AO27" s="104"/>
      <c r="AP27" s="104"/>
      <c r="AQ27" s="104">
        <f t="shared" si="12"/>
        <v>-209253.69467864081</v>
      </c>
      <c r="AR27" s="104"/>
      <c r="AS27" s="104">
        <f t="shared" si="13"/>
        <v>-209253.69467864081</v>
      </c>
      <c r="AT27" s="104">
        <f t="shared" si="14"/>
        <v>0</v>
      </c>
      <c r="AU27" s="105">
        <f t="shared" si="25"/>
        <v>-4500079.455454641</v>
      </c>
      <c r="AV27" s="106"/>
      <c r="AW27" s="106"/>
      <c r="AX27" s="107"/>
      <c r="AY27" s="107"/>
      <c r="AZ27" s="107"/>
      <c r="BA27" s="107"/>
      <c r="BB27" s="108">
        <f t="shared" si="15"/>
        <v>-4500079.455454641</v>
      </c>
      <c r="BC27" s="108">
        <f t="shared" si="20"/>
        <v>-5142947.9490910182</v>
      </c>
      <c r="BD27" s="109"/>
      <c r="BE27" s="109"/>
      <c r="BF27" s="109"/>
      <c r="BG27" s="110">
        <f t="shared" si="21"/>
        <v>-6000105.940606188</v>
      </c>
      <c r="BH27" s="110"/>
      <c r="BI27" s="110"/>
      <c r="BJ27" s="123">
        <f t="shared" si="17"/>
        <v>-9300164.2079395913</v>
      </c>
      <c r="BK27" s="123"/>
      <c r="BL27" s="116"/>
      <c r="BM27" s="111"/>
    </row>
    <row r="28" spans="1:66" s="112" customFormat="1" ht="25.5">
      <c r="A28" s="84">
        <f t="shared" si="18"/>
        <v>19</v>
      </c>
      <c r="B28" s="85" t="s">
        <v>103</v>
      </c>
      <c r="C28" s="86" t="s">
        <v>104</v>
      </c>
      <c r="D28" s="85" t="s">
        <v>97</v>
      </c>
      <c r="E28" s="87" t="s">
        <v>65</v>
      </c>
      <c r="F28" s="88"/>
      <c r="G28" s="89"/>
      <c r="H28" s="90">
        <v>43647</v>
      </c>
      <c r="I28" s="90">
        <v>43647</v>
      </c>
      <c r="J28" s="91">
        <v>4000000</v>
      </c>
      <c r="K28" s="120">
        <v>7.7499999999999999E-2</v>
      </c>
      <c r="L28" s="121">
        <v>7.4999999999999997E-2</v>
      </c>
      <c r="M28" s="97">
        <v>0.9</v>
      </c>
      <c r="N28" s="95">
        <v>5</v>
      </c>
      <c r="O28" s="95"/>
      <c r="P28" s="97">
        <v>12</v>
      </c>
      <c r="Q28" s="95">
        <f t="shared" si="22"/>
        <v>116250</v>
      </c>
      <c r="R28" s="95">
        <f t="shared" si="8"/>
        <v>2426624.263593276</v>
      </c>
      <c r="S28" s="95">
        <f t="shared" si="23"/>
        <v>70523.767660679587</v>
      </c>
      <c r="T28" s="95">
        <f t="shared" si="9"/>
        <v>45726.232339320413</v>
      </c>
      <c r="U28" s="96">
        <v>0.606656065898319</v>
      </c>
      <c r="V28" s="95"/>
      <c r="W28" s="97">
        <v>70523.77</v>
      </c>
      <c r="X28" s="95">
        <f t="shared" si="3"/>
        <v>2426624.263593276</v>
      </c>
      <c r="Y28" s="95">
        <f t="shared" si="3"/>
        <v>-2.3393204173771665E-3</v>
      </c>
      <c r="Z28" s="98">
        <f t="shared" si="10"/>
        <v>2426624.263593276</v>
      </c>
      <c r="AA28" s="98">
        <f t="shared" si="10"/>
        <v>-2.3393204173771665E-3</v>
      </c>
      <c r="AB28" s="115"/>
      <c r="AC28" s="115"/>
      <c r="AD28" s="98">
        <f t="shared" si="19"/>
        <v>-2.3393204173771665E-3</v>
      </c>
      <c r="AE28" s="100">
        <v>0</v>
      </c>
      <c r="AF28" s="100">
        <f t="shared" si="24"/>
        <v>-4.471819196897809E-2</v>
      </c>
      <c r="AG28" s="100"/>
      <c r="AH28" s="101"/>
      <c r="AI28" s="101"/>
      <c r="AJ28" s="101"/>
      <c r="AK28" s="101"/>
      <c r="AL28" s="101"/>
      <c r="AM28" s="104">
        <f t="shared" si="11"/>
        <v>-2.3393204173771665E-3</v>
      </c>
      <c r="AN28" s="104"/>
      <c r="AO28" s="104"/>
      <c r="AP28" s="104"/>
      <c r="AQ28" s="104">
        <f t="shared" si="12"/>
        <v>-2.3393204173771665E-3</v>
      </c>
      <c r="AR28" s="104"/>
      <c r="AS28" s="104">
        <f t="shared" si="13"/>
        <v>-2.3393204173771665E-3</v>
      </c>
      <c r="AT28" s="104">
        <f t="shared" si="14"/>
        <v>0</v>
      </c>
      <c r="AU28" s="105">
        <f t="shared" si="25"/>
        <v>-5.0307965965100357E-2</v>
      </c>
      <c r="AV28" s="106"/>
      <c r="AW28" s="106"/>
      <c r="AX28" s="107"/>
      <c r="AY28" s="107"/>
      <c r="AZ28" s="107"/>
      <c r="BA28" s="107"/>
      <c r="BB28" s="108">
        <f t="shared" si="15"/>
        <v>-5.0307965965100357E-2</v>
      </c>
      <c r="BC28" s="108">
        <f t="shared" si="20"/>
        <v>-5.7494818245828978E-2</v>
      </c>
      <c r="BD28" s="109"/>
      <c r="BE28" s="109"/>
      <c r="BF28" s="109"/>
      <c r="BG28" s="110">
        <f t="shared" si="21"/>
        <v>-6.7077287953467138E-2</v>
      </c>
      <c r="BH28" s="110"/>
      <c r="BI28" s="110">
        <f t="shared" si="16"/>
        <v>-2.3393204173771665E-3</v>
      </c>
      <c r="BJ28" s="123">
        <f t="shared" si="17"/>
        <v>-0.10396979632787406</v>
      </c>
      <c r="BK28" s="123"/>
      <c r="BL28" s="116"/>
      <c r="BM28" s="111"/>
    </row>
    <row r="29" spans="1:66" s="170" customFormat="1" hidden="1">
      <c r="A29" s="150"/>
      <c r="B29" s="151" t="s">
        <v>103</v>
      </c>
      <c r="C29" s="152" t="s">
        <v>104</v>
      </c>
      <c r="D29" s="153"/>
      <c r="E29" s="127"/>
      <c r="F29" s="154"/>
      <c r="G29" s="153"/>
      <c r="H29" s="155"/>
      <c r="I29" s="155"/>
      <c r="J29" s="156"/>
      <c r="K29" s="157"/>
      <c r="L29" s="63">
        <v>7.4999999999999997E-2</v>
      </c>
      <c r="M29" s="93">
        <v>0.9</v>
      </c>
      <c r="N29" s="94">
        <v>5</v>
      </c>
      <c r="O29" s="94">
        <v>4</v>
      </c>
      <c r="P29" s="93">
        <v>12</v>
      </c>
      <c r="Q29" s="158"/>
      <c r="R29" s="158"/>
      <c r="S29" s="158"/>
      <c r="T29" s="158"/>
      <c r="U29" s="159"/>
      <c r="V29" s="158"/>
      <c r="W29" s="160"/>
      <c r="X29" s="158"/>
      <c r="Y29" s="158"/>
      <c r="Z29" s="161"/>
      <c r="AA29" s="161"/>
      <c r="AB29" s="162"/>
      <c r="AC29" s="162"/>
      <c r="AD29" s="161"/>
      <c r="AE29" s="163"/>
      <c r="AF29" s="163"/>
      <c r="AG29" s="163"/>
      <c r="AH29" s="102"/>
      <c r="AI29" s="102"/>
      <c r="AJ29" s="102"/>
      <c r="AK29" s="102"/>
      <c r="AL29" s="102"/>
      <c r="AM29" s="70"/>
      <c r="AN29" s="70"/>
      <c r="AO29" s="70"/>
      <c r="AP29" s="70"/>
      <c r="AQ29" s="70"/>
      <c r="AR29" s="70"/>
      <c r="AS29" s="69">
        <f t="shared" si="13"/>
        <v>0</v>
      </c>
      <c r="AT29" s="104">
        <f t="shared" si="14"/>
        <v>0</v>
      </c>
      <c r="AU29" s="105"/>
      <c r="AV29" s="106"/>
      <c r="AW29" s="106"/>
      <c r="AX29" s="107"/>
      <c r="AY29" s="107"/>
      <c r="AZ29" s="107"/>
      <c r="BA29" s="107"/>
      <c r="BB29" s="108"/>
      <c r="BC29" s="108"/>
      <c r="BD29" s="109"/>
      <c r="BE29" s="109"/>
      <c r="BF29" s="109"/>
      <c r="BG29" s="110"/>
      <c r="BH29" s="110"/>
      <c r="BI29" s="110">
        <f t="shared" si="16"/>
        <v>0</v>
      </c>
      <c r="BJ29" s="116">
        <f t="shared" si="17"/>
        <v>0</v>
      </c>
      <c r="BK29" s="116"/>
      <c r="BL29" s="169">
        <v>1000000</v>
      </c>
      <c r="BM29" s="144" t="s">
        <v>99</v>
      </c>
      <c r="BN29" s="148" t="s">
        <v>73</v>
      </c>
    </row>
    <row r="30" spans="1:66" s="185" customFormat="1" ht="25.5">
      <c r="A30" s="171">
        <f>A28+1</f>
        <v>20</v>
      </c>
      <c r="B30" s="87" t="s">
        <v>105</v>
      </c>
      <c r="C30" s="172" t="s">
        <v>106</v>
      </c>
      <c r="D30" s="87" t="s">
        <v>97</v>
      </c>
      <c r="E30" s="87" t="s">
        <v>65</v>
      </c>
      <c r="F30" s="173">
        <v>51449</v>
      </c>
      <c r="G30" s="87"/>
      <c r="H30" s="174">
        <v>43525</v>
      </c>
      <c r="I30" s="174">
        <v>43525</v>
      </c>
      <c r="J30" s="175">
        <v>4000000</v>
      </c>
      <c r="K30" s="121">
        <v>7.7499999999999999E-2</v>
      </c>
      <c r="L30" s="121">
        <v>7.4999999999999997E-2</v>
      </c>
      <c r="M30" s="176">
        <v>0.9</v>
      </c>
      <c r="N30" s="177">
        <v>9</v>
      </c>
      <c r="O30" s="177">
        <v>0</v>
      </c>
      <c r="P30" s="176">
        <v>12</v>
      </c>
      <c r="Q30" s="177">
        <f>J30*K30*M30*N30/P30</f>
        <v>209250</v>
      </c>
      <c r="R30" s="177">
        <f t="shared" si="8"/>
        <v>2426624.263593276</v>
      </c>
      <c r="S30" s="177">
        <f>R30*K30*M30*N30/P30</f>
        <v>126942.78178922326</v>
      </c>
      <c r="T30" s="177">
        <f t="shared" si="9"/>
        <v>82307.218210776744</v>
      </c>
      <c r="U30" s="178">
        <v>0.606656065898319</v>
      </c>
      <c r="V30" s="177"/>
      <c r="W30" s="176"/>
      <c r="X30" s="177">
        <f t="shared" si="3"/>
        <v>2426624.263593276</v>
      </c>
      <c r="Y30" s="177">
        <f t="shared" si="3"/>
        <v>126942.78178922326</v>
      </c>
      <c r="Z30" s="179">
        <f t="shared" si="10"/>
        <v>2426624.263593276</v>
      </c>
      <c r="AA30" s="179">
        <f t="shared" si="10"/>
        <v>126942.78178922326</v>
      </c>
      <c r="AB30" s="179">
        <v>125893.97</v>
      </c>
      <c r="AC30" s="179"/>
      <c r="AD30" s="179">
        <f t="shared" si="19"/>
        <v>1048.8117892232549</v>
      </c>
      <c r="AE30" s="180">
        <v>-1616038.1627660515</v>
      </c>
      <c r="AF30" s="180">
        <f>AD30/K30/M30/9*P30</f>
        <v>20048.970881209174</v>
      </c>
      <c r="AG30" s="180"/>
      <c r="AH30" s="104"/>
      <c r="AI30" s="104"/>
      <c r="AJ30" s="104"/>
      <c r="AK30" s="104"/>
      <c r="AL30" s="104"/>
      <c r="AM30" s="104">
        <f t="shared" si="11"/>
        <v>1048.8117892232549</v>
      </c>
      <c r="AN30" s="104"/>
      <c r="AO30" s="104"/>
      <c r="AP30" s="104"/>
      <c r="AQ30" s="104">
        <f t="shared" si="12"/>
        <v>1048.8117892232549</v>
      </c>
      <c r="AR30" s="104"/>
      <c r="AS30" s="69">
        <f t="shared" si="13"/>
        <v>1048.8117892232549</v>
      </c>
      <c r="AT30" s="104">
        <f t="shared" si="14"/>
        <v>0</v>
      </c>
      <c r="AU30" s="181">
        <f>AD30/K30/M30/8*P30</f>
        <v>22555.092241360318</v>
      </c>
      <c r="AV30" s="181"/>
      <c r="AW30" s="181"/>
      <c r="AX30" s="182"/>
      <c r="AY30" s="182"/>
      <c r="AZ30" s="182"/>
      <c r="BA30" s="182"/>
      <c r="BB30" s="108">
        <f t="shared" si="15"/>
        <v>22555.092241360318</v>
      </c>
      <c r="BC30" s="108">
        <f>AM30/K30/M30/7*P30</f>
        <v>25777.248275840364</v>
      </c>
      <c r="BD30" s="183"/>
      <c r="BE30" s="183"/>
      <c r="BF30" s="183"/>
      <c r="BG30" s="110">
        <f>AQ30/K30/M30/6*P30</f>
        <v>30073.456321813763</v>
      </c>
      <c r="BH30" s="110"/>
      <c r="BI30" s="110">
        <f t="shared" si="16"/>
        <v>1048.8117892232549</v>
      </c>
      <c r="BJ30" s="116">
        <f t="shared" si="17"/>
        <v>46613.85729881133</v>
      </c>
      <c r="BK30" s="116"/>
      <c r="BL30" s="116"/>
      <c r="BM30" s="184"/>
    </row>
    <row r="31" spans="1:66" s="185" customFormat="1" ht="25.5">
      <c r="A31" s="171">
        <f t="shared" si="18"/>
        <v>21</v>
      </c>
      <c r="B31" s="87" t="s">
        <v>107</v>
      </c>
      <c r="C31" s="172" t="s">
        <v>108</v>
      </c>
      <c r="D31" s="87" t="s">
        <v>97</v>
      </c>
      <c r="E31" s="87" t="s">
        <v>65</v>
      </c>
      <c r="F31" s="173"/>
      <c r="G31" s="87"/>
      <c r="H31" s="174">
        <v>43556</v>
      </c>
      <c r="I31" s="174">
        <v>43556</v>
      </c>
      <c r="J31" s="175">
        <v>500000</v>
      </c>
      <c r="K31" s="121">
        <v>7.7499999999999999E-2</v>
      </c>
      <c r="L31" s="121">
        <v>7.4999999999999997E-2</v>
      </c>
      <c r="M31" s="176">
        <v>0.9</v>
      </c>
      <c r="N31" s="177">
        <v>8</v>
      </c>
      <c r="O31" s="177">
        <v>0</v>
      </c>
      <c r="P31" s="176">
        <v>12</v>
      </c>
      <c r="Q31" s="177">
        <f>J31*K31*M31*N31/P31</f>
        <v>23250</v>
      </c>
      <c r="R31" s="177">
        <f t="shared" si="8"/>
        <v>303328.0329491595</v>
      </c>
      <c r="S31" s="177">
        <f>R31*K31*M31*N31/P31</f>
        <v>14104.753532135917</v>
      </c>
      <c r="T31" s="177">
        <f t="shared" si="9"/>
        <v>9145.2464678640827</v>
      </c>
      <c r="U31" s="178">
        <v>0.606656065898319</v>
      </c>
      <c r="V31" s="177"/>
      <c r="W31" s="176"/>
      <c r="X31" s="177">
        <f t="shared" si="3"/>
        <v>303328.0329491595</v>
      </c>
      <c r="Y31" s="177">
        <f t="shared" si="3"/>
        <v>14104.753532135917</v>
      </c>
      <c r="Z31" s="179">
        <f t="shared" si="10"/>
        <v>303328.0329491595</v>
      </c>
      <c r="AA31" s="179">
        <f t="shared" si="10"/>
        <v>14104.753532135917</v>
      </c>
      <c r="AB31" s="179"/>
      <c r="AC31" s="179"/>
      <c r="AD31" s="179">
        <f t="shared" si="19"/>
        <v>14104.753532135917</v>
      </c>
      <c r="AE31" s="180">
        <v>242662.42635932763</v>
      </c>
      <c r="AF31" s="180">
        <f>AD31/K31/M31/9*P31</f>
        <v>269624.91817703069</v>
      </c>
      <c r="AG31" s="180"/>
      <c r="AH31" s="104"/>
      <c r="AI31" s="104"/>
      <c r="AJ31" s="104"/>
      <c r="AK31" s="104">
        <v>13995.39</v>
      </c>
      <c r="AL31" s="104"/>
      <c r="AM31" s="104">
        <f t="shared" si="11"/>
        <v>109.36353213591792</v>
      </c>
      <c r="AN31" s="104"/>
      <c r="AO31" s="104"/>
      <c r="AP31" s="104"/>
      <c r="AQ31" s="104">
        <f t="shared" si="12"/>
        <v>109.36353213591792</v>
      </c>
      <c r="AR31" s="104"/>
      <c r="AS31" s="69">
        <f t="shared" si="13"/>
        <v>109.36353213591792</v>
      </c>
      <c r="AT31" s="104">
        <f t="shared" si="14"/>
        <v>0</v>
      </c>
      <c r="AU31" s="181">
        <f>AD31/K31/M31/8*P31</f>
        <v>303328.0329491595</v>
      </c>
      <c r="AV31" s="181"/>
      <c r="AW31" s="181"/>
      <c r="AX31" s="182"/>
      <c r="AY31" s="182"/>
      <c r="AZ31" s="181">
        <v>465000</v>
      </c>
      <c r="BA31" s="181"/>
      <c r="BB31" s="108">
        <f t="shared" si="15"/>
        <v>-161671.9670508405</v>
      </c>
      <c r="BC31" s="108">
        <f>AM31/K31/M31/7*P31</f>
        <v>2687.890190744527</v>
      </c>
      <c r="BD31" s="183"/>
      <c r="BE31" s="183"/>
      <c r="BF31" s="183"/>
      <c r="BG31" s="110">
        <f>AQ31/K31/M31/6*P31</f>
        <v>3135.8718892019479</v>
      </c>
      <c r="BH31" s="110"/>
      <c r="BI31" s="110">
        <f t="shared" si="16"/>
        <v>109.36353213591792</v>
      </c>
      <c r="BJ31" s="116">
        <f t="shared" si="17"/>
        <v>4860.6014282630185</v>
      </c>
      <c r="BK31" s="116"/>
      <c r="BL31" s="116"/>
      <c r="BM31" s="184"/>
    </row>
    <row r="32" spans="1:66" s="5" customFormat="1" ht="25.5" hidden="1">
      <c r="A32" s="126"/>
      <c r="B32" s="117" t="s">
        <v>107</v>
      </c>
      <c r="C32" s="118" t="s">
        <v>108</v>
      </c>
      <c r="D32" s="127"/>
      <c r="E32" s="127"/>
      <c r="F32" s="128"/>
      <c r="G32" s="127"/>
      <c r="H32" s="129"/>
      <c r="I32" s="129"/>
      <c r="J32" s="130"/>
      <c r="K32" s="142"/>
      <c r="L32" s="63">
        <v>7.4999999999999997E-2</v>
      </c>
      <c r="M32" s="93">
        <v>0.9</v>
      </c>
      <c r="N32" s="94">
        <v>5</v>
      </c>
      <c r="O32" s="94">
        <v>4</v>
      </c>
      <c r="P32" s="93">
        <v>12</v>
      </c>
      <c r="Q32" s="131"/>
      <c r="R32" s="131"/>
      <c r="S32" s="131"/>
      <c r="T32" s="131"/>
      <c r="U32" s="132"/>
      <c r="V32" s="131"/>
      <c r="W32" s="133"/>
      <c r="X32" s="131"/>
      <c r="Y32" s="131"/>
      <c r="Z32" s="134"/>
      <c r="AA32" s="134"/>
      <c r="AB32" s="134"/>
      <c r="AC32" s="134"/>
      <c r="AD32" s="134"/>
      <c r="AE32" s="135"/>
      <c r="AF32" s="135"/>
      <c r="AG32" s="135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69">
        <f t="shared" si="13"/>
        <v>0</v>
      </c>
      <c r="AT32" s="69">
        <f t="shared" si="14"/>
        <v>0</v>
      </c>
      <c r="AU32" s="136"/>
      <c r="AV32" s="136"/>
      <c r="AW32" s="136"/>
      <c r="AX32" s="74"/>
      <c r="AY32" s="74"/>
      <c r="AZ32" s="136"/>
      <c r="BA32" s="136"/>
      <c r="BB32" s="137"/>
      <c r="BC32" s="137"/>
      <c r="BD32" s="138"/>
      <c r="BE32" s="138"/>
      <c r="BF32" s="138"/>
      <c r="BG32" s="168"/>
      <c r="BH32" s="168"/>
      <c r="BI32" s="78">
        <f t="shared" si="16"/>
        <v>0</v>
      </c>
      <c r="BJ32" s="79">
        <f t="shared" si="17"/>
        <v>0</v>
      </c>
      <c r="BK32" s="79"/>
      <c r="BL32" s="169">
        <v>500000</v>
      </c>
      <c r="BM32" s="144" t="s">
        <v>99</v>
      </c>
      <c r="BN32" s="148" t="s">
        <v>73</v>
      </c>
    </row>
    <row r="33" spans="1:66" s="5" customFormat="1" ht="38.25">
      <c r="A33" s="126">
        <f>A31+1</f>
        <v>22</v>
      </c>
      <c r="B33" s="127" t="s">
        <v>109</v>
      </c>
      <c r="C33" s="140" t="s">
        <v>110</v>
      </c>
      <c r="D33" s="127" t="s">
        <v>111</v>
      </c>
      <c r="E33" s="141" t="s">
        <v>98</v>
      </c>
      <c r="F33" s="128">
        <v>191387</v>
      </c>
      <c r="G33" s="127"/>
      <c r="H33" s="129">
        <v>43586</v>
      </c>
      <c r="I33" s="129">
        <v>43586</v>
      </c>
      <c r="J33" s="130">
        <v>20000000</v>
      </c>
      <c r="K33" s="142">
        <v>7.7499999999999999E-2</v>
      </c>
      <c r="L33" s="63">
        <v>7.4999999999999997E-2</v>
      </c>
      <c r="M33" s="133">
        <v>0.9</v>
      </c>
      <c r="N33" s="131">
        <v>7</v>
      </c>
      <c r="O33" s="131">
        <v>4</v>
      </c>
      <c r="P33" s="133">
        <v>12</v>
      </c>
      <c r="Q33" s="131">
        <f>J33*K33*M33*N33/P33</f>
        <v>813750</v>
      </c>
      <c r="R33" s="131">
        <f t="shared" si="8"/>
        <v>12133121.317966379</v>
      </c>
      <c r="S33" s="131">
        <f>R33*K33*M33*N33/P33</f>
        <v>493666.37362475699</v>
      </c>
      <c r="T33" s="131">
        <f t="shared" si="9"/>
        <v>320083.62637524301</v>
      </c>
      <c r="U33" s="132">
        <v>0.606656065898319</v>
      </c>
      <c r="V33" s="131"/>
      <c r="W33" s="133"/>
      <c r="X33" s="131">
        <f t="shared" si="3"/>
        <v>12133121.317966379</v>
      </c>
      <c r="Y33" s="131">
        <f t="shared" si="3"/>
        <v>493666.37362475699</v>
      </c>
      <c r="Z33" s="134">
        <f t="shared" si="10"/>
        <v>12133121.317966379</v>
      </c>
      <c r="AA33" s="134">
        <f t="shared" si="10"/>
        <v>493666.37362475699</v>
      </c>
      <c r="AB33" s="134"/>
      <c r="AC33" s="134"/>
      <c r="AD33" s="134">
        <f t="shared" si="19"/>
        <v>493666.37362475699</v>
      </c>
      <c r="AE33" s="135">
        <v>8493184.9225764647</v>
      </c>
      <c r="AF33" s="135">
        <f>AD33/K33/M33/9*P33</f>
        <v>9436872.1361960731</v>
      </c>
      <c r="AG33" s="135"/>
      <c r="AH33" s="70"/>
      <c r="AI33" s="70"/>
      <c r="AJ33" s="70"/>
      <c r="AK33" s="70"/>
      <c r="AL33" s="71"/>
      <c r="AM33" s="69">
        <f t="shared" si="11"/>
        <v>493666.37362475699</v>
      </c>
      <c r="AN33" s="69"/>
      <c r="AO33" s="69"/>
      <c r="AP33" s="69"/>
      <c r="AQ33" s="69">
        <f t="shared" si="12"/>
        <v>493666.37362475699</v>
      </c>
      <c r="AR33" s="69"/>
      <c r="AS33" s="69">
        <f t="shared" si="13"/>
        <v>493666.37362475699</v>
      </c>
      <c r="AT33" s="69">
        <f t="shared" si="14"/>
        <v>450000</v>
      </c>
      <c r="AU33" s="136">
        <f>AD33/K33/M33/8*P33</f>
        <v>10616481.153220581</v>
      </c>
      <c r="AV33" s="136"/>
      <c r="AW33" s="136"/>
      <c r="AX33" s="74"/>
      <c r="AY33" s="74"/>
      <c r="AZ33" s="74"/>
      <c r="BA33" s="75"/>
      <c r="BB33" s="76">
        <f t="shared" si="15"/>
        <v>10616481.153220581</v>
      </c>
      <c r="BC33" s="76">
        <f>AM33/K33/M33/7*P33</f>
        <v>12133121.317966379</v>
      </c>
      <c r="BD33" s="138"/>
      <c r="BE33" s="138"/>
      <c r="BF33" s="138"/>
      <c r="BG33" s="78">
        <f>AQ33/K33/M33/6*P33</f>
        <v>14155308.204294108</v>
      </c>
      <c r="BH33" s="78"/>
      <c r="BI33" s="78">
        <f t="shared" si="16"/>
        <v>43666.37362475699</v>
      </c>
      <c r="BJ33" s="79">
        <f t="shared" si="17"/>
        <v>21940727.716655869</v>
      </c>
      <c r="BK33" s="79">
        <v>20000000</v>
      </c>
      <c r="BL33" s="79">
        <v>20000000</v>
      </c>
      <c r="BM33" s="186" t="s">
        <v>112</v>
      </c>
      <c r="BN33" s="187" t="s">
        <v>111</v>
      </c>
    </row>
    <row r="34" spans="1:66" s="112" customFormat="1" ht="25.5">
      <c r="A34" s="84">
        <f t="shared" si="18"/>
        <v>23</v>
      </c>
      <c r="B34" s="85" t="s">
        <v>113</v>
      </c>
      <c r="C34" s="86" t="s">
        <v>114</v>
      </c>
      <c r="D34" s="85" t="s">
        <v>64</v>
      </c>
      <c r="E34" s="87" t="s">
        <v>65</v>
      </c>
      <c r="F34" s="88">
        <v>51606</v>
      </c>
      <c r="G34" s="89"/>
      <c r="H34" s="90">
        <v>43525</v>
      </c>
      <c r="I34" s="90">
        <v>43525</v>
      </c>
      <c r="J34" s="91">
        <v>5000000</v>
      </c>
      <c r="K34" s="92">
        <v>7.7499999999999999E-2</v>
      </c>
      <c r="L34" s="63">
        <v>7.4999999999999997E-2</v>
      </c>
      <c r="M34" s="93">
        <v>0.9</v>
      </c>
      <c r="N34" s="94">
        <v>9</v>
      </c>
      <c r="O34" s="94"/>
      <c r="P34" s="93">
        <v>12</v>
      </c>
      <c r="Q34" s="95">
        <f>J34*K34*M34*N34/P34</f>
        <v>261562.5</v>
      </c>
      <c r="R34" s="95">
        <f t="shared" si="8"/>
        <v>3033280.3294915948</v>
      </c>
      <c r="S34" s="95">
        <f>R34*K34*M34*N34/P34</f>
        <v>158678.47723652906</v>
      </c>
      <c r="T34" s="95">
        <f t="shared" si="9"/>
        <v>102884.02276347094</v>
      </c>
      <c r="U34" s="96">
        <v>0.606656065898319</v>
      </c>
      <c r="V34" s="95">
        <v>7000000</v>
      </c>
      <c r="W34" s="95">
        <v>406875</v>
      </c>
      <c r="X34" s="95">
        <f t="shared" si="3"/>
        <v>-3966719.6705084052</v>
      </c>
      <c r="Y34" s="95">
        <f t="shared" si="3"/>
        <v>-248196.52276347094</v>
      </c>
      <c r="Z34" s="98">
        <f t="shared" si="10"/>
        <v>-3966719.6705084052</v>
      </c>
      <c r="AA34" s="98">
        <f t="shared" si="10"/>
        <v>-248196.52276347094</v>
      </c>
      <c r="AB34" s="98"/>
      <c r="AC34" s="98"/>
      <c r="AD34" s="98">
        <f t="shared" si="19"/>
        <v>-248196.52276347094</v>
      </c>
      <c r="AE34" s="100">
        <v>-4270047.7034575641</v>
      </c>
      <c r="AF34" s="100">
        <f>AD34/K34/M34/9*P34</f>
        <v>-4744497.4482861832</v>
      </c>
      <c r="AG34" s="100"/>
      <c r="AH34" s="101"/>
      <c r="AI34" s="101"/>
      <c r="AJ34" s="101"/>
      <c r="AK34" s="101"/>
      <c r="AL34" s="101"/>
      <c r="AM34" s="104">
        <f t="shared" si="11"/>
        <v>-248196.52276347094</v>
      </c>
      <c r="AN34" s="104"/>
      <c r="AO34" s="104"/>
      <c r="AP34" s="104"/>
      <c r="AQ34" s="104">
        <f t="shared" si="12"/>
        <v>-248196.52276347094</v>
      </c>
      <c r="AR34" s="104"/>
      <c r="AS34" s="104">
        <f t="shared" si="13"/>
        <v>-248196.52276347094</v>
      </c>
      <c r="AT34" s="104">
        <f t="shared" si="14"/>
        <v>0</v>
      </c>
      <c r="AU34" s="105">
        <f>AD34/K34/M34/8*P34</f>
        <v>-5337559.6293219561</v>
      </c>
      <c r="AV34" s="106"/>
      <c r="AW34" s="106"/>
      <c r="AX34" s="107"/>
      <c r="AY34" s="107"/>
      <c r="AZ34" s="107"/>
      <c r="BA34" s="107"/>
      <c r="BB34" s="108">
        <f t="shared" si="15"/>
        <v>-5337559.6293219561</v>
      </c>
      <c r="BC34" s="108">
        <f>AM34/K34/M34/7*P34</f>
        <v>-6100068.147796521</v>
      </c>
      <c r="BD34" s="109"/>
      <c r="BE34" s="109"/>
      <c r="BF34" s="109"/>
      <c r="BG34" s="110">
        <f>AQ34/K34/M34/6*P34</f>
        <v>-7116746.1724292748</v>
      </c>
      <c r="BH34" s="110"/>
      <c r="BI34" s="78"/>
      <c r="BJ34" s="123">
        <f t="shared" si="17"/>
        <v>-11030956.567265375</v>
      </c>
      <c r="BK34" s="123"/>
      <c r="BL34" s="79"/>
      <c r="BM34" s="111"/>
    </row>
    <row r="35" spans="1:66" s="170" customFormat="1" ht="25.5" hidden="1">
      <c r="A35" s="150"/>
      <c r="B35" s="151" t="s">
        <v>113</v>
      </c>
      <c r="C35" s="152" t="s">
        <v>114</v>
      </c>
      <c r="D35" s="153" t="s">
        <v>64</v>
      </c>
      <c r="E35" s="127"/>
      <c r="F35" s="154"/>
      <c r="G35" s="153"/>
      <c r="H35" s="155"/>
      <c r="I35" s="155"/>
      <c r="J35" s="156"/>
      <c r="K35" s="157"/>
      <c r="L35" s="63">
        <v>7.4999999999999997E-2</v>
      </c>
      <c r="M35" s="93">
        <v>0.9</v>
      </c>
      <c r="N35" s="94">
        <v>9</v>
      </c>
      <c r="O35" s="94">
        <v>4</v>
      </c>
      <c r="P35" s="93">
        <v>12</v>
      </c>
      <c r="Q35" s="158"/>
      <c r="R35" s="158"/>
      <c r="S35" s="158"/>
      <c r="T35" s="158"/>
      <c r="U35" s="159"/>
      <c r="V35" s="158"/>
      <c r="W35" s="158"/>
      <c r="X35" s="158"/>
      <c r="Y35" s="158"/>
      <c r="Z35" s="161"/>
      <c r="AA35" s="161"/>
      <c r="AB35" s="161"/>
      <c r="AC35" s="161"/>
      <c r="AD35" s="161"/>
      <c r="AE35" s="163"/>
      <c r="AF35" s="163"/>
      <c r="AG35" s="163"/>
      <c r="AH35" s="102"/>
      <c r="AI35" s="102"/>
      <c r="AJ35" s="102"/>
      <c r="AK35" s="102"/>
      <c r="AL35" s="102"/>
      <c r="AM35" s="70"/>
      <c r="AN35" s="70"/>
      <c r="AO35" s="70"/>
      <c r="AP35" s="70"/>
      <c r="AQ35" s="70"/>
      <c r="AR35" s="70"/>
      <c r="AS35" s="69">
        <f t="shared" si="13"/>
        <v>0</v>
      </c>
      <c r="AT35" s="104">
        <f t="shared" si="14"/>
        <v>0</v>
      </c>
      <c r="AU35" s="164"/>
      <c r="AV35" s="165"/>
      <c r="AW35" s="165"/>
      <c r="AX35" s="166"/>
      <c r="AY35" s="166"/>
      <c r="AZ35" s="166"/>
      <c r="BA35" s="166"/>
      <c r="BB35" s="137"/>
      <c r="BC35" s="137"/>
      <c r="BD35" s="167"/>
      <c r="BE35" s="167"/>
      <c r="BF35" s="167"/>
      <c r="BG35" s="168"/>
      <c r="BH35" s="168"/>
      <c r="BI35" s="78">
        <f t="shared" si="16"/>
        <v>0</v>
      </c>
      <c r="BJ35" s="79">
        <f t="shared" si="17"/>
        <v>0</v>
      </c>
      <c r="BK35" s="79"/>
      <c r="BL35" s="169">
        <v>1500000</v>
      </c>
      <c r="BM35" s="186"/>
      <c r="BN35" s="81" t="s">
        <v>64</v>
      </c>
    </row>
    <row r="36" spans="1:66" s="185" customFormat="1" ht="25.5">
      <c r="A36" s="171">
        <f>A34+1</f>
        <v>24</v>
      </c>
      <c r="B36" s="87" t="s">
        <v>115</v>
      </c>
      <c r="C36" s="172" t="s">
        <v>116</v>
      </c>
      <c r="D36" s="87" t="s">
        <v>64</v>
      </c>
      <c r="E36" s="87" t="s">
        <v>65</v>
      </c>
      <c r="F36" s="173"/>
      <c r="G36" s="87"/>
      <c r="H36" s="174">
        <v>43497</v>
      </c>
      <c r="I36" s="174" t="s">
        <v>117</v>
      </c>
      <c r="J36" s="175">
        <v>6000000</v>
      </c>
      <c r="K36" s="121">
        <v>7.7499999999999999E-2</v>
      </c>
      <c r="L36" s="63">
        <v>7.4999999999999997E-2</v>
      </c>
      <c r="M36" s="176">
        <v>0.9</v>
      </c>
      <c r="N36" s="177">
        <v>10</v>
      </c>
      <c r="O36" s="177"/>
      <c r="P36" s="176">
        <v>12</v>
      </c>
      <c r="Q36" s="177">
        <f>J36*K36*M36*N36/P36</f>
        <v>348750</v>
      </c>
      <c r="R36" s="177">
        <f t="shared" si="8"/>
        <v>3639936.395389914</v>
      </c>
      <c r="S36" s="177">
        <f>R36*K36*M36*N36/P36</f>
        <v>211571.30298203873</v>
      </c>
      <c r="T36" s="177">
        <f t="shared" si="9"/>
        <v>137178.69701796127</v>
      </c>
      <c r="U36" s="178">
        <v>0.606656065898319</v>
      </c>
      <c r="V36" s="177"/>
      <c r="W36" s="176"/>
      <c r="X36" s="177">
        <f t="shared" si="3"/>
        <v>3639936.395389914</v>
      </c>
      <c r="Y36" s="177">
        <f t="shared" si="3"/>
        <v>211571.30298203873</v>
      </c>
      <c r="Z36" s="179">
        <f t="shared" si="10"/>
        <v>3639936.395389914</v>
      </c>
      <c r="AA36" s="179">
        <f t="shared" si="10"/>
        <v>211571.30298203873</v>
      </c>
      <c r="AB36" s="179"/>
      <c r="AC36" s="179"/>
      <c r="AD36" s="179">
        <f t="shared" si="19"/>
        <v>211571.30298203873</v>
      </c>
      <c r="AE36" s="180">
        <v>3639936.395389914</v>
      </c>
      <c r="AF36" s="180">
        <f>AD36/K36/M36/9*P36</f>
        <v>4044373.7726554601</v>
      </c>
      <c r="AG36" s="180">
        <v>211571.28</v>
      </c>
      <c r="AH36" s="104"/>
      <c r="AI36" s="104"/>
      <c r="AJ36" s="104"/>
      <c r="AK36" s="104"/>
      <c r="AL36" s="104"/>
      <c r="AM36" s="104">
        <f t="shared" si="11"/>
        <v>2.2982038732152432E-2</v>
      </c>
      <c r="AN36" s="104"/>
      <c r="AO36" s="104"/>
      <c r="AP36" s="104"/>
      <c r="AQ36" s="104">
        <f t="shared" si="12"/>
        <v>2.2982038732152432E-2</v>
      </c>
      <c r="AR36" s="104"/>
      <c r="AS36" s="104">
        <f t="shared" si="13"/>
        <v>2.2982038732152432E-2</v>
      </c>
      <c r="AT36" s="104">
        <f t="shared" si="14"/>
        <v>0</v>
      </c>
      <c r="AU36" s="181">
        <f>AD36/K36/M36/8*P36</f>
        <v>4549920.4942373922</v>
      </c>
      <c r="AV36" s="188">
        <v>4549920</v>
      </c>
      <c r="AW36" s="188"/>
      <c r="AX36" s="182"/>
      <c r="AY36" s="182"/>
      <c r="AZ36" s="182"/>
      <c r="BA36" s="182"/>
      <c r="BB36" s="108">
        <f t="shared" si="15"/>
        <v>0.49423739220947027</v>
      </c>
      <c r="BC36" s="108">
        <f>AM36/K36/M36/7*P36</f>
        <v>0.56484273381634242</v>
      </c>
      <c r="BD36" s="183"/>
      <c r="BE36" s="183"/>
      <c r="BF36" s="183"/>
      <c r="BG36" s="110">
        <f>AQ36/K36/M36/6*P36</f>
        <v>0.65898318945239942</v>
      </c>
      <c r="BH36" s="110"/>
      <c r="BI36" s="78">
        <f t="shared" si="16"/>
        <v>2.2982038732152432E-2</v>
      </c>
      <c r="BJ36" s="116">
        <f t="shared" si="17"/>
        <v>1.0214239436512191</v>
      </c>
      <c r="BK36" s="116"/>
      <c r="BL36" s="116"/>
      <c r="BM36" s="184"/>
    </row>
    <row r="37" spans="1:66" s="81" customFormat="1" ht="38.25">
      <c r="A37" s="56">
        <f t="shared" si="18"/>
        <v>25</v>
      </c>
      <c r="B37" s="57" t="s">
        <v>118</v>
      </c>
      <c r="C37" s="58" t="s">
        <v>119</v>
      </c>
      <c r="D37" s="57" t="s">
        <v>120</v>
      </c>
      <c r="E37" s="57" t="s">
        <v>65</v>
      </c>
      <c r="F37" s="59">
        <v>72315</v>
      </c>
      <c r="G37" s="57"/>
      <c r="H37" s="60">
        <v>43586</v>
      </c>
      <c r="I37" s="60">
        <v>43586</v>
      </c>
      <c r="J37" s="62">
        <v>10000000</v>
      </c>
      <c r="K37" s="63">
        <v>7.7499999999999999E-2</v>
      </c>
      <c r="L37" s="63">
        <v>7.4999999999999997E-2</v>
      </c>
      <c r="M37" s="64">
        <v>0.9</v>
      </c>
      <c r="N37" s="65">
        <v>7</v>
      </c>
      <c r="O37" s="65">
        <v>4</v>
      </c>
      <c r="P37" s="64">
        <v>12</v>
      </c>
      <c r="Q37" s="65">
        <f>J37*K37*M37*N37/P37</f>
        <v>406875</v>
      </c>
      <c r="R37" s="65">
        <f t="shared" si="8"/>
        <v>6066560.6589831896</v>
      </c>
      <c r="S37" s="65">
        <f>R37*K37*M37*N37/P37</f>
        <v>246833.1868123785</v>
      </c>
      <c r="T37" s="65">
        <f t="shared" si="9"/>
        <v>160041.8131876215</v>
      </c>
      <c r="U37" s="66">
        <v>0.606656065898319</v>
      </c>
      <c r="V37" s="65"/>
      <c r="W37" s="64"/>
      <c r="X37" s="65">
        <f t="shared" si="3"/>
        <v>6066560.6589831896</v>
      </c>
      <c r="Y37" s="65">
        <f t="shared" si="3"/>
        <v>246833.1868123785</v>
      </c>
      <c r="Z37" s="67">
        <f t="shared" si="10"/>
        <v>6066560.6589831896</v>
      </c>
      <c r="AA37" s="67">
        <f t="shared" si="10"/>
        <v>246833.1868123785</v>
      </c>
      <c r="AB37" s="67"/>
      <c r="AC37" s="67"/>
      <c r="AD37" s="67">
        <f t="shared" si="19"/>
        <v>246833.1868123785</v>
      </c>
      <c r="AE37" s="68">
        <v>4246592.4612882324</v>
      </c>
      <c r="AF37" s="68">
        <f>AD37/K37/M37/9*P37</f>
        <v>4718436.0680980366</v>
      </c>
      <c r="AG37" s="68"/>
      <c r="AH37" s="69"/>
      <c r="AI37" s="69"/>
      <c r="AJ37" s="70"/>
      <c r="AK37" s="70"/>
      <c r="AL37" s="71"/>
      <c r="AM37" s="69">
        <f t="shared" si="11"/>
        <v>246833.1868123785</v>
      </c>
      <c r="AN37" s="69"/>
      <c r="AO37" s="69"/>
      <c r="AP37" s="69"/>
      <c r="AQ37" s="69">
        <f t="shared" si="12"/>
        <v>246833.1868123785</v>
      </c>
      <c r="AR37" s="69"/>
      <c r="AS37" s="69">
        <f t="shared" si="13"/>
        <v>246833.1868123785</v>
      </c>
      <c r="AT37" s="69">
        <f t="shared" si="14"/>
        <v>225000</v>
      </c>
      <c r="AU37" s="72">
        <f>AD37/K37/M37/8*P37</f>
        <v>5308240.5766102904</v>
      </c>
      <c r="AV37" s="72"/>
      <c r="AW37" s="72"/>
      <c r="AX37" s="73"/>
      <c r="AY37" s="74"/>
      <c r="AZ37" s="74"/>
      <c r="BA37" s="75"/>
      <c r="BB37" s="76">
        <f t="shared" si="15"/>
        <v>5308240.5766102904</v>
      </c>
      <c r="BC37" s="76">
        <f>AM37/K37/M37/7*P37</f>
        <v>6066560.6589831896</v>
      </c>
      <c r="BD37" s="77"/>
      <c r="BE37" s="77"/>
      <c r="BF37" s="77"/>
      <c r="BG37" s="78">
        <f>AQ37/K37/M37/6*P37</f>
        <v>7077654.1021470539</v>
      </c>
      <c r="BH37" s="78"/>
      <c r="BI37" s="78">
        <f t="shared" si="16"/>
        <v>21833.186812378495</v>
      </c>
      <c r="BJ37" s="79">
        <f t="shared" si="17"/>
        <v>10970363.858327935</v>
      </c>
      <c r="BK37" s="79">
        <v>10000000</v>
      </c>
      <c r="BL37" s="79">
        <v>10000000</v>
      </c>
      <c r="BM37" s="80"/>
      <c r="BN37" s="56" t="s">
        <v>76</v>
      </c>
    </row>
    <row r="38" spans="1:66" s="112" customFormat="1" ht="25.5">
      <c r="A38" s="84">
        <f t="shared" si="18"/>
        <v>26</v>
      </c>
      <c r="B38" s="85" t="s">
        <v>121</v>
      </c>
      <c r="C38" s="86" t="s">
        <v>122</v>
      </c>
      <c r="D38" s="85" t="s">
        <v>64</v>
      </c>
      <c r="E38" s="87" t="s">
        <v>98</v>
      </c>
      <c r="F38" s="88">
        <v>191495</v>
      </c>
      <c r="G38" s="89"/>
      <c r="H38" s="90">
        <v>43556</v>
      </c>
      <c r="I38" s="90">
        <v>43556</v>
      </c>
      <c r="J38" s="91">
        <v>10000000</v>
      </c>
      <c r="K38" s="92">
        <v>7.7499999999999999E-2</v>
      </c>
      <c r="L38" s="63">
        <v>7.4999999999999997E-2</v>
      </c>
      <c r="M38" s="93">
        <v>0.9</v>
      </c>
      <c r="N38" s="94">
        <v>8</v>
      </c>
      <c r="O38" s="94"/>
      <c r="P38" s="93">
        <v>12</v>
      </c>
      <c r="Q38" s="95">
        <f>J38*K38*M38*N38/P38</f>
        <v>465000</v>
      </c>
      <c r="R38" s="95">
        <f t="shared" si="8"/>
        <v>6066560.6589831896</v>
      </c>
      <c r="S38" s="95">
        <f>R38*K38*M38*N38/P38</f>
        <v>282095.07064271829</v>
      </c>
      <c r="T38" s="95">
        <f t="shared" si="9"/>
        <v>182904.92935728171</v>
      </c>
      <c r="U38" s="96">
        <v>0.606656065898319</v>
      </c>
      <c r="V38" s="95">
        <v>35000000</v>
      </c>
      <c r="W38" s="95">
        <v>2034375</v>
      </c>
      <c r="X38" s="95">
        <f t="shared" si="3"/>
        <v>-28933439.34101681</v>
      </c>
      <c r="Y38" s="95">
        <f t="shared" si="3"/>
        <v>-1752279.9293572817</v>
      </c>
      <c r="Z38" s="98">
        <f t="shared" si="10"/>
        <v>-28933439.34101681</v>
      </c>
      <c r="AA38" s="98">
        <f t="shared" si="10"/>
        <v>-1752279.9293572817</v>
      </c>
      <c r="AB38" s="98"/>
      <c r="AC38" s="98"/>
      <c r="AD38" s="98">
        <f t="shared" si="19"/>
        <v>-1752279.9293572817</v>
      </c>
      <c r="AE38" s="100">
        <v>-30146751.472813446</v>
      </c>
      <c r="AF38" s="100">
        <f>AD38/K38/M38/9*P38</f>
        <v>-33496390.525348276</v>
      </c>
      <c r="AG38" s="100"/>
      <c r="AH38" s="101"/>
      <c r="AI38" s="101"/>
      <c r="AJ38" s="101"/>
      <c r="AK38" s="101"/>
      <c r="AL38" s="101"/>
      <c r="AM38" s="104">
        <f t="shared" si="11"/>
        <v>-1752279.9293572817</v>
      </c>
      <c r="AN38" s="104"/>
      <c r="AO38" s="104"/>
      <c r="AP38" s="104"/>
      <c r="AQ38" s="104">
        <f t="shared" si="12"/>
        <v>-1752279.9293572817</v>
      </c>
      <c r="AR38" s="104"/>
      <c r="AS38" s="104">
        <f t="shared" si="13"/>
        <v>-1752279.9293572817</v>
      </c>
      <c r="AT38" s="104">
        <f t="shared" si="14"/>
        <v>0</v>
      </c>
      <c r="AU38" s="105">
        <f>AD38/K38/M38/8*P38</f>
        <v>-37683439.341016814</v>
      </c>
      <c r="AV38" s="106"/>
      <c r="AW38" s="106"/>
      <c r="AX38" s="107"/>
      <c r="AY38" s="107"/>
      <c r="AZ38" s="107"/>
      <c r="BA38" s="107"/>
      <c r="BB38" s="108">
        <f t="shared" si="15"/>
        <v>-37683439.341016814</v>
      </c>
      <c r="BC38" s="108">
        <f>AM38/K38/M38/7*P38</f>
        <v>-43066787.818304926</v>
      </c>
      <c r="BD38" s="109"/>
      <c r="BE38" s="109"/>
      <c r="BF38" s="109"/>
      <c r="BG38" s="110">
        <f>AQ38/K38/M38/6*P38</f>
        <v>-50244585.788022414</v>
      </c>
      <c r="BH38" s="110"/>
      <c r="BI38" s="78"/>
      <c r="BJ38" s="123">
        <f t="shared" si="17"/>
        <v>-77879107.971434742</v>
      </c>
      <c r="BK38" s="123"/>
      <c r="BL38" s="116"/>
      <c r="BM38" s="111"/>
    </row>
    <row r="39" spans="1:66" s="170" customFormat="1" hidden="1">
      <c r="A39" s="150"/>
      <c r="B39" s="151" t="s">
        <v>121</v>
      </c>
      <c r="C39" s="152" t="s">
        <v>122</v>
      </c>
      <c r="D39" s="153"/>
      <c r="E39" s="127"/>
      <c r="F39" s="154"/>
      <c r="G39" s="153"/>
      <c r="H39" s="155"/>
      <c r="I39" s="155"/>
      <c r="J39" s="156"/>
      <c r="K39" s="157"/>
      <c r="L39" s="63">
        <v>7.4999999999999997E-2</v>
      </c>
      <c r="M39" s="93">
        <v>0.9</v>
      </c>
      <c r="N39" s="94">
        <v>8</v>
      </c>
      <c r="O39" s="94">
        <v>4</v>
      </c>
      <c r="P39" s="93">
        <v>12</v>
      </c>
      <c r="Q39" s="158"/>
      <c r="R39" s="158"/>
      <c r="S39" s="158"/>
      <c r="T39" s="158"/>
      <c r="U39" s="159"/>
      <c r="V39" s="158"/>
      <c r="W39" s="158"/>
      <c r="X39" s="158"/>
      <c r="Y39" s="158"/>
      <c r="Z39" s="161"/>
      <c r="AA39" s="161"/>
      <c r="AB39" s="161"/>
      <c r="AC39" s="161"/>
      <c r="AD39" s="161"/>
      <c r="AE39" s="163"/>
      <c r="AF39" s="163"/>
      <c r="AG39" s="163"/>
      <c r="AH39" s="102"/>
      <c r="AI39" s="102"/>
      <c r="AJ39" s="102"/>
      <c r="AK39" s="102"/>
      <c r="AL39" s="102"/>
      <c r="AM39" s="70"/>
      <c r="AN39" s="70"/>
      <c r="AO39" s="70"/>
      <c r="AP39" s="70"/>
      <c r="AQ39" s="70"/>
      <c r="AR39" s="70"/>
      <c r="AS39" s="69">
        <f t="shared" si="13"/>
        <v>0</v>
      </c>
      <c r="AT39" s="69">
        <f t="shared" si="14"/>
        <v>0</v>
      </c>
      <c r="AU39" s="164"/>
      <c r="AV39" s="165"/>
      <c r="AW39" s="165"/>
      <c r="AX39" s="166"/>
      <c r="AY39" s="166"/>
      <c r="AZ39" s="166"/>
      <c r="BA39" s="166"/>
      <c r="BB39" s="137"/>
      <c r="BC39" s="137"/>
      <c r="BD39" s="167"/>
      <c r="BE39" s="167"/>
      <c r="BF39" s="167"/>
      <c r="BG39" s="168"/>
      <c r="BH39" s="168"/>
      <c r="BI39" s="78">
        <f t="shared" si="16"/>
        <v>0</v>
      </c>
      <c r="BJ39" s="79">
        <f t="shared" si="17"/>
        <v>0</v>
      </c>
      <c r="BK39" s="79"/>
      <c r="BL39" s="169">
        <v>7000000</v>
      </c>
      <c r="BM39" s="186" t="s">
        <v>72</v>
      </c>
      <c r="BN39" s="81" t="s">
        <v>64</v>
      </c>
    </row>
    <row r="40" spans="1:66" s="170" customFormat="1" hidden="1">
      <c r="A40" s="150"/>
      <c r="B40" s="151" t="s">
        <v>121</v>
      </c>
      <c r="C40" s="152" t="s">
        <v>122</v>
      </c>
      <c r="D40" s="153"/>
      <c r="E40" s="127"/>
      <c r="F40" s="154"/>
      <c r="G40" s="153"/>
      <c r="H40" s="155"/>
      <c r="I40" s="155"/>
      <c r="J40" s="156"/>
      <c r="K40" s="157"/>
      <c r="L40" s="63">
        <v>7.4999999999999997E-2</v>
      </c>
      <c r="M40" s="93">
        <v>0.9</v>
      </c>
      <c r="N40" s="94">
        <v>8</v>
      </c>
      <c r="O40" s="94">
        <v>4</v>
      </c>
      <c r="P40" s="93">
        <v>12</v>
      </c>
      <c r="Q40" s="158"/>
      <c r="R40" s="158"/>
      <c r="S40" s="158"/>
      <c r="T40" s="158"/>
      <c r="U40" s="159"/>
      <c r="V40" s="158"/>
      <c r="W40" s="158"/>
      <c r="X40" s="158"/>
      <c r="Y40" s="158"/>
      <c r="Z40" s="161"/>
      <c r="AA40" s="161"/>
      <c r="AB40" s="161"/>
      <c r="AC40" s="161"/>
      <c r="AD40" s="161"/>
      <c r="AE40" s="163"/>
      <c r="AF40" s="163"/>
      <c r="AG40" s="163"/>
      <c r="AH40" s="102"/>
      <c r="AI40" s="102"/>
      <c r="AJ40" s="102"/>
      <c r="AK40" s="102"/>
      <c r="AL40" s="102"/>
      <c r="AM40" s="70"/>
      <c r="AN40" s="70"/>
      <c r="AO40" s="70"/>
      <c r="AP40" s="70"/>
      <c r="AQ40" s="70"/>
      <c r="AR40" s="70"/>
      <c r="AS40" s="69">
        <f t="shared" si="13"/>
        <v>0</v>
      </c>
      <c r="AT40" s="69">
        <f t="shared" si="14"/>
        <v>0</v>
      </c>
      <c r="AU40" s="164"/>
      <c r="AV40" s="165"/>
      <c r="AW40" s="165"/>
      <c r="AX40" s="166"/>
      <c r="AY40" s="166"/>
      <c r="AZ40" s="166"/>
      <c r="BA40" s="166"/>
      <c r="BB40" s="137"/>
      <c r="BC40" s="137"/>
      <c r="BD40" s="167"/>
      <c r="BE40" s="167"/>
      <c r="BF40" s="167"/>
      <c r="BG40" s="168"/>
      <c r="BH40" s="168"/>
      <c r="BI40" s="78">
        <f t="shared" si="16"/>
        <v>0</v>
      </c>
      <c r="BJ40" s="79">
        <f t="shared" si="17"/>
        <v>0</v>
      </c>
      <c r="BK40" s="79"/>
      <c r="BL40" s="169">
        <v>20000000</v>
      </c>
      <c r="BM40" s="186" t="s">
        <v>72</v>
      </c>
      <c r="BN40" s="81" t="s">
        <v>64</v>
      </c>
    </row>
    <row r="41" spans="1:66" s="5" customFormat="1" ht="25.5">
      <c r="A41" s="171">
        <f>A38+1</f>
        <v>27</v>
      </c>
      <c r="B41" s="87" t="s">
        <v>123</v>
      </c>
      <c r="C41" s="172" t="s">
        <v>124</v>
      </c>
      <c r="D41" s="87" t="s">
        <v>64</v>
      </c>
      <c r="E41" s="87" t="s">
        <v>98</v>
      </c>
      <c r="F41" s="173">
        <v>193466</v>
      </c>
      <c r="G41" s="87"/>
      <c r="H41" s="174">
        <v>43739</v>
      </c>
      <c r="I41" s="174">
        <v>43739</v>
      </c>
      <c r="J41" s="175">
        <v>10000000</v>
      </c>
      <c r="K41" s="121">
        <v>7.7499999999999999E-2</v>
      </c>
      <c r="L41" s="121">
        <v>7.4999999999999997E-2</v>
      </c>
      <c r="M41" s="176">
        <v>0.9</v>
      </c>
      <c r="N41" s="177">
        <v>2</v>
      </c>
      <c r="O41" s="177">
        <v>3</v>
      </c>
      <c r="P41" s="176">
        <v>12</v>
      </c>
      <c r="Q41" s="177">
        <f t="shared" ref="Q41:Q48" si="26">J41*K41*M41*N41/P41</f>
        <v>116250</v>
      </c>
      <c r="R41" s="177">
        <f t="shared" si="8"/>
        <v>6066560.6589831896</v>
      </c>
      <c r="S41" s="177">
        <f t="shared" ref="S41:S48" si="27">R41*K41*M41*N41/P41</f>
        <v>70523.767660679572</v>
      </c>
      <c r="T41" s="177">
        <f t="shared" si="9"/>
        <v>45726.232339320428</v>
      </c>
      <c r="U41" s="178">
        <v>0.606656065898319</v>
      </c>
      <c r="V41" s="177"/>
      <c r="W41" s="176"/>
      <c r="X41" s="177">
        <f t="shared" si="3"/>
        <v>6066560.6589831896</v>
      </c>
      <c r="Y41" s="177">
        <f t="shared" si="3"/>
        <v>70523.767660679572</v>
      </c>
      <c r="Z41" s="179">
        <f t="shared" si="10"/>
        <v>6066560.6589831896</v>
      </c>
      <c r="AA41" s="179">
        <f t="shared" si="10"/>
        <v>70523.767660679572</v>
      </c>
      <c r="AB41" s="179"/>
      <c r="AC41" s="179"/>
      <c r="AD41" s="179">
        <f t="shared" si="19"/>
        <v>70523.767660679572</v>
      </c>
      <c r="AE41" s="180">
        <v>1213312.1317966378</v>
      </c>
      <c r="AF41" s="180">
        <f t="shared" ref="AF41:AF48" si="28">AD41/K41/M41/9*P41</f>
        <v>1348124.5908851533</v>
      </c>
      <c r="AG41" s="180"/>
      <c r="AH41" s="104"/>
      <c r="AI41" s="104"/>
      <c r="AJ41" s="104"/>
      <c r="AK41" s="104"/>
      <c r="AL41" s="104"/>
      <c r="AM41" s="104">
        <f t="shared" si="11"/>
        <v>70523.767660679572</v>
      </c>
      <c r="AN41" s="104"/>
      <c r="AO41" s="104"/>
      <c r="AP41" s="104"/>
      <c r="AQ41" s="104">
        <f t="shared" si="12"/>
        <v>70523.767660679572</v>
      </c>
      <c r="AR41" s="104"/>
      <c r="AS41" s="104">
        <f t="shared" si="13"/>
        <v>70523.767660679572</v>
      </c>
      <c r="AT41" s="104">
        <f t="shared" si="14"/>
        <v>0</v>
      </c>
      <c r="AU41" s="181">
        <f t="shared" ref="AU41:AU48" si="29">AD41/K41/M41/8*P41</f>
        <v>1516640.1647457974</v>
      </c>
      <c r="AV41" s="181"/>
      <c r="AW41" s="181"/>
      <c r="AX41" s="182"/>
      <c r="AY41" s="182"/>
      <c r="AZ41" s="182"/>
      <c r="BA41" s="182"/>
      <c r="BB41" s="108">
        <f t="shared" si="15"/>
        <v>1516640.1647457974</v>
      </c>
      <c r="BC41" s="108">
        <f t="shared" ref="BC41:BC48" si="30">AM41/K41/M41/7*P41</f>
        <v>1733303.0454237685</v>
      </c>
      <c r="BD41" s="183"/>
      <c r="BE41" s="183"/>
      <c r="BF41" s="183"/>
      <c r="BG41" s="110">
        <f t="shared" ref="BG41:BG48" si="31">AQ41/K41/M41/6*P41</f>
        <v>2022186.88632773</v>
      </c>
      <c r="BH41" s="110"/>
      <c r="BI41" s="110">
        <f t="shared" si="16"/>
        <v>70523.767660679572</v>
      </c>
      <c r="BJ41" s="116">
        <f t="shared" si="17"/>
        <v>3134389.673807981</v>
      </c>
      <c r="BK41" s="116"/>
      <c r="BL41" s="79"/>
      <c r="BM41" s="147" t="s">
        <v>125</v>
      </c>
      <c r="BN41" s="81" t="s">
        <v>64</v>
      </c>
    </row>
    <row r="42" spans="1:66" s="5" customFormat="1" ht="25.5">
      <c r="A42" s="171">
        <f t="shared" si="18"/>
        <v>28</v>
      </c>
      <c r="B42" s="87" t="s">
        <v>126</v>
      </c>
      <c r="C42" s="172" t="s">
        <v>127</v>
      </c>
      <c r="D42" s="87" t="s">
        <v>64</v>
      </c>
      <c r="E42" s="87" t="s">
        <v>65</v>
      </c>
      <c r="F42" s="173"/>
      <c r="G42" s="87"/>
      <c r="H42" s="174">
        <v>43497</v>
      </c>
      <c r="I42" s="189" t="s">
        <v>128</v>
      </c>
      <c r="J42" s="175">
        <v>1500000</v>
      </c>
      <c r="K42" s="121">
        <v>7.7499999999999999E-2</v>
      </c>
      <c r="L42" s="121">
        <v>7.4999999999999997E-2</v>
      </c>
      <c r="M42" s="176">
        <v>0.9</v>
      </c>
      <c r="N42" s="177">
        <v>10</v>
      </c>
      <c r="O42" s="177"/>
      <c r="P42" s="176">
        <v>12</v>
      </c>
      <c r="Q42" s="177">
        <f t="shared" si="26"/>
        <v>87187.5</v>
      </c>
      <c r="R42" s="177">
        <f t="shared" si="8"/>
        <v>909984.09884747851</v>
      </c>
      <c r="S42" s="177">
        <f t="shared" si="27"/>
        <v>52892.825745509683</v>
      </c>
      <c r="T42" s="177">
        <f t="shared" si="9"/>
        <v>34294.674254490317</v>
      </c>
      <c r="U42" s="178">
        <v>0.606656065898319</v>
      </c>
      <c r="V42" s="177"/>
      <c r="W42" s="176"/>
      <c r="X42" s="177">
        <f t="shared" si="3"/>
        <v>909984.09884747851</v>
      </c>
      <c r="Y42" s="177">
        <f t="shared" si="3"/>
        <v>52892.825745509683</v>
      </c>
      <c r="Z42" s="179">
        <f t="shared" si="10"/>
        <v>909984.09884747851</v>
      </c>
      <c r="AA42" s="179">
        <f t="shared" si="10"/>
        <v>52892.825745509683</v>
      </c>
      <c r="AB42" s="179"/>
      <c r="AC42" s="179"/>
      <c r="AD42" s="179">
        <f t="shared" si="19"/>
        <v>52892.825745509683</v>
      </c>
      <c r="AE42" s="180">
        <v>909984.09884747851</v>
      </c>
      <c r="AF42" s="180">
        <f t="shared" si="28"/>
        <v>1011093.443163865</v>
      </c>
      <c r="AG42" s="180"/>
      <c r="AH42" s="104">
        <v>-52892.83</v>
      </c>
      <c r="AI42" s="104"/>
      <c r="AJ42" s="104"/>
      <c r="AK42" s="104"/>
      <c r="AL42" s="104"/>
      <c r="AM42" s="104">
        <f t="shared" si="11"/>
        <v>-4.2544903189991601E-3</v>
      </c>
      <c r="AN42" s="104"/>
      <c r="AO42" s="104"/>
      <c r="AP42" s="104"/>
      <c r="AQ42" s="104">
        <f t="shared" si="12"/>
        <v>-4.2544903189991601E-3</v>
      </c>
      <c r="AR42" s="104"/>
      <c r="AS42" s="104">
        <f t="shared" si="13"/>
        <v>-4.2544903189991601E-3</v>
      </c>
      <c r="AT42" s="104">
        <f t="shared" si="14"/>
        <v>0</v>
      </c>
      <c r="AU42" s="181">
        <f t="shared" si="29"/>
        <v>1137480.1235593481</v>
      </c>
      <c r="AV42" s="181"/>
      <c r="AW42" s="105">
        <v>-1137480.1200000001</v>
      </c>
      <c r="AX42" s="182"/>
      <c r="AY42" s="182"/>
      <c r="AZ42" s="182"/>
      <c r="BA42" s="182"/>
      <c r="BB42" s="108">
        <f t="shared" si="15"/>
        <v>3.5593479406088591E-3</v>
      </c>
      <c r="BC42" s="108">
        <f t="shared" si="30"/>
        <v>-0.10456504624268288</v>
      </c>
      <c r="BD42" s="183"/>
      <c r="BE42" s="183"/>
      <c r="BF42" s="183"/>
      <c r="BG42" s="110">
        <f t="shared" si="31"/>
        <v>-0.12199255394979669</v>
      </c>
      <c r="BH42" s="110"/>
      <c r="BI42" s="78">
        <f t="shared" si="16"/>
        <v>-4.2544903189991601E-3</v>
      </c>
      <c r="BJ42" s="123">
        <f t="shared" si="17"/>
        <v>-0.18908845862218487</v>
      </c>
      <c r="BK42" s="123"/>
      <c r="BL42" s="116"/>
      <c r="BM42" s="139"/>
    </row>
    <row r="43" spans="1:66" s="81" customFormat="1" ht="51">
      <c r="A43" s="56">
        <f t="shared" si="18"/>
        <v>29</v>
      </c>
      <c r="B43" s="57" t="s">
        <v>129</v>
      </c>
      <c r="C43" s="58" t="s">
        <v>130</v>
      </c>
      <c r="D43" s="57" t="s">
        <v>64</v>
      </c>
      <c r="E43" s="57" t="s">
        <v>65</v>
      </c>
      <c r="F43" s="59">
        <v>46992</v>
      </c>
      <c r="G43" s="57"/>
      <c r="H43" s="60">
        <v>43586</v>
      </c>
      <c r="I43" s="60">
        <v>43586</v>
      </c>
      <c r="J43" s="62">
        <v>1000000</v>
      </c>
      <c r="K43" s="63">
        <v>7.7499999999999999E-2</v>
      </c>
      <c r="L43" s="63">
        <v>7.4999999999999997E-2</v>
      </c>
      <c r="M43" s="64">
        <v>0.9</v>
      </c>
      <c r="N43" s="65">
        <v>7</v>
      </c>
      <c r="O43" s="65">
        <v>0</v>
      </c>
      <c r="P43" s="64">
        <v>12</v>
      </c>
      <c r="Q43" s="65">
        <f t="shared" si="26"/>
        <v>40687.5</v>
      </c>
      <c r="R43" s="65">
        <f t="shared" si="8"/>
        <v>606656.06589831901</v>
      </c>
      <c r="S43" s="65">
        <f t="shared" si="27"/>
        <v>24683.318681237855</v>
      </c>
      <c r="T43" s="65">
        <f t="shared" si="9"/>
        <v>16004.181318762145</v>
      </c>
      <c r="U43" s="66">
        <v>0.606656065898319</v>
      </c>
      <c r="V43" s="65"/>
      <c r="W43" s="64"/>
      <c r="X43" s="65">
        <f t="shared" si="3"/>
        <v>606656.06589831901</v>
      </c>
      <c r="Y43" s="65">
        <f t="shared" si="3"/>
        <v>24683.318681237855</v>
      </c>
      <c r="Z43" s="67">
        <f t="shared" si="10"/>
        <v>606656.06589831901</v>
      </c>
      <c r="AA43" s="67">
        <f t="shared" si="10"/>
        <v>24683.318681237855</v>
      </c>
      <c r="AB43" s="67"/>
      <c r="AC43" s="67"/>
      <c r="AD43" s="67">
        <f t="shared" si="19"/>
        <v>24683.318681237855</v>
      </c>
      <c r="AE43" s="68">
        <v>424659.24612882326</v>
      </c>
      <c r="AF43" s="68">
        <f t="shared" si="28"/>
        <v>471843.60680980363</v>
      </c>
      <c r="AG43" s="68"/>
      <c r="AH43" s="69"/>
      <c r="AI43" s="69"/>
      <c r="AJ43" s="70"/>
      <c r="AK43" s="70"/>
      <c r="AL43" s="71"/>
      <c r="AM43" s="69">
        <f t="shared" si="11"/>
        <v>24683.318681237855</v>
      </c>
      <c r="AN43" s="69"/>
      <c r="AO43" s="69"/>
      <c r="AP43" s="69"/>
      <c r="AQ43" s="69">
        <f t="shared" si="12"/>
        <v>24683.318681237855</v>
      </c>
      <c r="AR43" s="69"/>
      <c r="AS43" s="69">
        <f t="shared" si="13"/>
        <v>24683.318681237855</v>
      </c>
      <c r="AT43" s="69">
        <f t="shared" si="14"/>
        <v>22500</v>
      </c>
      <c r="AU43" s="72">
        <f t="shared" si="29"/>
        <v>530824.05766102916</v>
      </c>
      <c r="AV43" s="72"/>
      <c r="AW43" s="72"/>
      <c r="AX43" s="73"/>
      <c r="AY43" s="74"/>
      <c r="AZ43" s="74"/>
      <c r="BA43" s="75"/>
      <c r="BB43" s="76">
        <f t="shared" si="15"/>
        <v>530824.05766102916</v>
      </c>
      <c r="BC43" s="76">
        <f t="shared" si="30"/>
        <v>606656.06589831901</v>
      </c>
      <c r="BD43" s="77"/>
      <c r="BE43" s="77"/>
      <c r="BF43" s="77"/>
      <c r="BG43" s="78">
        <f t="shared" si="31"/>
        <v>707765.41021470551</v>
      </c>
      <c r="BH43" s="78"/>
      <c r="BI43" s="78">
        <f t="shared" si="16"/>
        <v>2183.3186812378553</v>
      </c>
      <c r="BJ43" s="79">
        <f t="shared" si="17"/>
        <v>1097036.3858327938</v>
      </c>
      <c r="BK43" s="79">
        <v>1000000</v>
      </c>
      <c r="BL43" s="79"/>
      <c r="BM43" s="190" t="s">
        <v>131</v>
      </c>
      <c r="BN43" s="81" t="s">
        <v>64</v>
      </c>
    </row>
    <row r="44" spans="1:66" s="112" customFormat="1" ht="25.5">
      <c r="A44" s="84">
        <f t="shared" si="18"/>
        <v>30</v>
      </c>
      <c r="B44" s="85" t="s">
        <v>132</v>
      </c>
      <c r="C44" s="86" t="s">
        <v>133</v>
      </c>
      <c r="D44" s="85" t="s">
        <v>120</v>
      </c>
      <c r="E44" s="87" t="s">
        <v>65</v>
      </c>
      <c r="F44" s="85"/>
      <c r="G44" s="85"/>
      <c r="H44" s="90">
        <v>43497</v>
      </c>
      <c r="I44" s="90">
        <v>43497</v>
      </c>
      <c r="J44" s="91">
        <v>5000000</v>
      </c>
      <c r="K44" s="120">
        <v>7.7499999999999999E-2</v>
      </c>
      <c r="L44" s="63">
        <v>7.4999999999999997E-2</v>
      </c>
      <c r="M44" s="97">
        <v>0.9</v>
      </c>
      <c r="N44" s="95">
        <v>10</v>
      </c>
      <c r="O44" s="95"/>
      <c r="P44" s="97">
        <v>12</v>
      </c>
      <c r="Q44" s="95">
        <f t="shared" si="26"/>
        <v>290625</v>
      </c>
      <c r="R44" s="95">
        <f t="shared" si="8"/>
        <v>3033280.3294915948</v>
      </c>
      <c r="S44" s="95">
        <f t="shared" si="27"/>
        <v>176309.41915169894</v>
      </c>
      <c r="T44" s="95">
        <f t="shared" si="9"/>
        <v>114315.58084830106</v>
      </c>
      <c r="U44" s="96">
        <v>0.606656065898319</v>
      </c>
      <c r="V44" s="149">
        <v>32000000</v>
      </c>
      <c r="W44" s="122">
        <f>1860000-W45-W46-W47-W48</f>
        <v>802143.49</v>
      </c>
      <c r="X44" s="95">
        <f t="shared" si="3"/>
        <v>-28966719.670508407</v>
      </c>
      <c r="Y44" s="95">
        <f t="shared" si="3"/>
        <v>-625834.07084830105</v>
      </c>
      <c r="Z44" s="98">
        <f t="shared" si="10"/>
        <v>-28966719.670508407</v>
      </c>
      <c r="AA44" s="98">
        <f t="shared" si="10"/>
        <v>-625834.07084830105</v>
      </c>
      <c r="AB44" s="98"/>
      <c r="AC44" s="98"/>
      <c r="AD44" s="98">
        <f t="shared" si="19"/>
        <v>-625834.07084830105</v>
      </c>
      <c r="AE44" s="100">
        <v>-10767037.693558834</v>
      </c>
      <c r="AF44" s="100">
        <f t="shared" si="28"/>
        <v>-11963375.308928097</v>
      </c>
      <c r="AG44" s="100"/>
      <c r="AH44" s="101"/>
      <c r="AI44" s="101"/>
      <c r="AJ44" s="102"/>
      <c r="AK44" s="102"/>
      <c r="AL44" s="103"/>
      <c r="AM44" s="69">
        <f t="shared" si="11"/>
        <v>-625834.07084830105</v>
      </c>
      <c r="AN44" s="69"/>
      <c r="AO44" s="69"/>
      <c r="AP44" s="69"/>
      <c r="AQ44" s="104">
        <f t="shared" si="12"/>
        <v>-625834.07084830105</v>
      </c>
      <c r="AR44" s="104"/>
      <c r="AS44" s="104">
        <f t="shared" si="13"/>
        <v>-625834.07084830105</v>
      </c>
      <c r="AT44" s="104">
        <f t="shared" si="14"/>
        <v>0</v>
      </c>
      <c r="AU44" s="105">
        <f t="shared" si="29"/>
        <v>-13458797.222544109</v>
      </c>
      <c r="AV44" s="106"/>
      <c r="AW44" s="106"/>
      <c r="AX44" s="107"/>
      <c r="AY44" s="107"/>
      <c r="AZ44" s="107"/>
      <c r="BA44" s="107"/>
      <c r="BB44" s="108">
        <f t="shared" si="15"/>
        <v>-13458797.222544109</v>
      </c>
      <c r="BC44" s="108">
        <f t="shared" si="30"/>
        <v>-15381482.540050412</v>
      </c>
      <c r="BD44" s="109"/>
      <c r="BE44" s="109"/>
      <c r="BF44" s="109"/>
      <c r="BG44" s="110">
        <f t="shared" si="31"/>
        <v>-17945062.963392146</v>
      </c>
      <c r="BH44" s="110"/>
      <c r="BI44" s="78"/>
      <c r="BJ44" s="123">
        <f t="shared" si="17"/>
        <v>-27814847.593257822</v>
      </c>
      <c r="BK44" s="123"/>
      <c r="BL44" s="79"/>
      <c r="BM44" s="111"/>
    </row>
    <row r="45" spans="1:66" s="112" customFormat="1" ht="25.5">
      <c r="A45" s="84">
        <f t="shared" si="18"/>
        <v>31</v>
      </c>
      <c r="B45" s="85" t="s">
        <v>132</v>
      </c>
      <c r="C45" s="86" t="s">
        <v>133</v>
      </c>
      <c r="D45" s="85" t="s">
        <v>64</v>
      </c>
      <c r="E45" s="87" t="s">
        <v>65</v>
      </c>
      <c r="F45" s="85"/>
      <c r="G45" s="85"/>
      <c r="H45" s="90">
        <v>43497</v>
      </c>
      <c r="I45" s="90">
        <v>43497</v>
      </c>
      <c r="J45" s="91">
        <v>15000000</v>
      </c>
      <c r="K45" s="120">
        <v>7.7499999999999999E-2</v>
      </c>
      <c r="L45" s="63">
        <v>7.4999999999999997E-2</v>
      </c>
      <c r="M45" s="97">
        <v>0.9</v>
      </c>
      <c r="N45" s="95">
        <v>10</v>
      </c>
      <c r="O45" s="95"/>
      <c r="P45" s="97">
        <v>12</v>
      </c>
      <c r="Q45" s="95">
        <f t="shared" si="26"/>
        <v>871875</v>
      </c>
      <c r="R45" s="95">
        <f t="shared" si="8"/>
        <v>9099840.9884747844</v>
      </c>
      <c r="S45" s="95">
        <f t="shared" si="27"/>
        <v>528928.25745509693</v>
      </c>
      <c r="T45" s="95">
        <f t="shared" si="9"/>
        <v>342946.74254490307</v>
      </c>
      <c r="U45" s="96">
        <v>0.606656065898319</v>
      </c>
      <c r="V45" s="95"/>
      <c r="W45" s="97">
        <v>528928.26</v>
      </c>
      <c r="X45" s="95">
        <f t="shared" si="3"/>
        <v>9099840.9884747844</v>
      </c>
      <c r="Y45" s="95">
        <f t="shared" si="3"/>
        <v>-2.5449030799791217E-3</v>
      </c>
      <c r="Z45" s="98">
        <f t="shared" si="10"/>
        <v>9099840.9884747844</v>
      </c>
      <c r="AA45" s="98">
        <f t="shared" si="10"/>
        <v>-2.5449030799791217E-3</v>
      </c>
      <c r="AB45" s="115"/>
      <c r="AC45" s="115"/>
      <c r="AD45" s="98">
        <f t="shared" si="19"/>
        <v>-2.5449030799791217E-3</v>
      </c>
      <c r="AE45" s="100">
        <v>0</v>
      </c>
      <c r="AF45" s="100">
        <f t="shared" si="28"/>
        <v>-4.8648087550377472E-2</v>
      </c>
      <c r="AG45" s="100"/>
      <c r="AH45" s="101"/>
      <c r="AI45" s="101"/>
      <c r="AJ45" s="102"/>
      <c r="AK45" s="102"/>
      <c r="AL45" s="103"/>
      <c r="AM45" s="69">
        <f t="shared" si="11"/>
        <v>-2.5449030799791217E-3</v>
      </c>
      <c r="AN45" s="69"/>
      <c r="AO45" s="69"/>
      <c r="AP45" s="69"/>
      <c r="AQ45" s="104">
        <f t="shared" si="12"/>
        <v>-2.5449030799791217E-3</v>
      </c>
      <c r="AR45" s="104"/>
      <c r="AS45" s="104">
        <f t="shared" si="13"/>
        <v>-2.5449030799791217E-3</v>
      </c>
      <c r="AT45" s="104">
        <f t="shared" si="14"/>
        <v>0</v>
      </c>
      <c r="AU45" s="105">
        <f t="shared" si="29"/>
        <v>-5.4729098494174656E-2</v>
      </c>
      <c r="AV45" s="106"/>
      <c r="AW45" s="106"/>
      <c r="AX45" s="107"/>
      <c r="AY45" s="107"/>
      <c r="AZ45" s="107"/>
      <c r="BA45" s="107"/>
      <c r="BB45" s="108">
        <f t="shared" si="15"/>
        <v>-5.4729098494174656E-2</v>
      </c>
      <c r="BC45" s="108">
        <f t="shared" si="30"/>
        <v>-6.2547541136199605E-2</v>
      </c>
      <c r="BD45" s="109"/>
      <c r="BE45" s="109"/>
      <c r="BF45" s="109"/>
      <c r="BG45" s="110">
        <f t="shared" si="31"/>
        <v>-7.2972131325566209E-2</v>
      </c>
      <c r="BH45" s="110"/>
      <c r="BI45" s="78">
        <f t="shared" si="16"/>
        <v>-2.5449030799791217E-3</v>
      </c>
      <c r="BJ45" s="116">
        <f t="shared" si="17"/>
        <v>-0.11310680355462766</v>
      </c>
      <c r="BK45" s="116"/>
      <c r="BL45" s="79"/>
      <c r="BM45" s="111"/>
    </row>
    <row r="46" spans="1:66" s="112" customFormat="1" ht="25.5">
      <c r="A46" s="84">
        <f t="shared" si="18"/>
        <v>32</v>
      </c>
      <c r="B46" s="85" t="s">
        <v>132</v>
      </c>
      <c r="C46" s="86" t="s">
        <v>133</v>
      </c>
      <c r="D46" s="85" t="s">
        <v>64</v>
      </c>
      <c r="E46" s="87" t="s">
        <v>65</v>
      </c>
      <c r="F46" s="85"/>
      <c r="G46" s="85"/>
      <c r="H46" s="90">
        <v>43525</v>
      </c>
      <c r="I46" s="90">
        <v>43525</v>
      </c>
      <c r="J46" s="91">
        <v>10000000</v>
      </c>
      <c r="K46" s="120">
        <v>7.7499999999999999E-2</v>
      </c>
      <c r="L46" s="63">
        <v>7.4999999999999997E-2</v>
      </c>
      <c r="M46" s="97">
        <v>0.9</v>
      </c>
      <c r="N46" s="95">
        <v>9</v>
      </c>
      <c r="O46" s="95"/>
      <c r="P46" s="97">
        <v>12</v>
      </c>
      <c r="Q46" s="95">
        <f t="shared" si="26"/>
        <v>523125</v>
      </c>
      <c r="R46" s="95">
        <f t="shared" si="8"/>
        <v>6066560.6589831896</v>
      </c>
      <c r="S46" s="95">
        <f t="shared" si="27"/>
        <v>317356.95447305811</v>
      </c>
      <c r="T46" s="95">
        <f t="shared" si="9"/>
        <v>205768.04552694189</v>
      </c>
      <c r="U46" s="96">
        <v>0.606656065898319</v>
      </c>
      <c r="V46" s="95"/>
      <c r="W46" s="97">
        <v>317356.95</v>
      </c>
      <c r="X46" s="95">
        <f t="shared" si="3"/>
        <v>6066560.6589831896</v>
      </c>
      <c r="Y46" s="95">
        <f t="shared" si="3"/>
        <v>4.4730580993928015E-3</v>
      </c>
      <c r="Z46" s="98">
        <f t="shared" si="10"/>
        <v>6066560.6589831896</v>
      </c>
      <c r="AA46" s="98">
        <f t="shared" si="10"/>
        <v>4.4730580993928015E-3</v>
      </c>
      <c r="AB46" s="115"/>
      <c r="AC46" s="115"/>
      <c r="AD46" s="98">
        <f t="shared" si="19"/>
        <v>4.4730580993928015E-3</v>
      </c>
      <c r="AE46" s="100">
        <v>0</v>
      </c>
      <c r="AF46" s="100">
        <f t="shared" si="28"/>
        <v>8.5506486965692741E-2</v>
      </c>
      <c r="AG46" s="100"/>
      <c r="AH46" s="101"/>
      <c r="AI46" s="101"/>
      <c r="AJ46" s="102"/>
      <c r="AK46" s="102"/>
      <c r="AL46" s="103"/>
      <c r="AM46" s="69">
        <f t="shared" si="11"/>
        <v>4.4730580993928015E-3</v>
      </c>
      <c r="AN46" s="69"/>
      <c r="AO46" s="69"/>
      <c r="AP46" s="69"/>
      <c r="AQ46" s="104">
        <f t="shared" si="12"/>
        <v>4.4730580993928015E-3</v>
      </c>
      <c r="AR46" s="104"/>
      <c r="AS46" s="104">
        <f t="shared" si="13"/>
        <v>4.4730580993928015E-3</v>
      </c>
      <c r="AT46" s="104">
        <f t="shared" si="14"/>
        <v>0</v>
      </c>
      <c r="AU46" s="181">
        <f t="shared" si="29"/>
        <v>9.6194797836404333E-2</v>
      </c>
      <c r="AV46" s="106"/>
      <c r="AW46" s="106"/>
      <c r="AX46" s="107"/>
      <c r="AY46" s="107"/>
      <c r="AZ46" s="107"/>
      <c r="BA46" s="107"/>
      <c r="BB46" s="108">
        <f t="shared" si="15"/>
        <v>9.6194797836404333E-2</v>
      </c>
      <c r="BC46" s="108">
        <f t="shared" si="30"/>
        <v>0.10993691181303353</v>
      </c>
      <c r="BD46" s="109"/>
      <c r="BE46" s="109"/>
      <c r="BF46" s="109"/>
      <c r="BG46" s="110">
        <f t="shared" si="31"/>
        <v>0.12825973044853911</v>
      </c>
      <c r="BH46" s="110"/>
      <c r="BI46" s="78">
        <f t="shared" si="16"/>
        <v>4.4730580993928015E-3</v>
      </c>
      <c r="BJ46" s="116">
        <f t="shared" si="17"/>
        <v>0.19880258219523564</v>
      </c>
      <c r="BK46" s="116"/>
      <c r="BL46" s="79"/>
      <c r="BM46" s="111"/>
    </row>
    <row r="47" spans="1:66" s="112" customFormat="1" ht="25.5">
      <c r="A47" s="84">
        <f t="shared" si="18"/>
        <v>33</v>
      </c>
      <c r="B47" s="85" t="s">
        <v>132</v>
      </c>
      <c r="C47" s="86" t="s">
        <v>133</v>
      </c>
      <c r="D47" s="85" t="s">
        <v>64</v>
      </c>
      <c r="E47" s="87" t="s">
        <v>65</v>
      </c>
      <c r="F47" s="85"/>
      <c r="G47" s="85"/>
      <c r="H47" s="90">
        <v>43617</v>
      </c>
      <c r="I47" s="90">
        <v>43617</v>
      </c>
      <c r="J47" s="91">
        <v>5000000</v>
      </c>
      <c r="K47" s="120">
        <v>7.7499999999999999E-2</v>
      </c>
      <c r="L47" s="63">
        <v>7.4999999999999997E-2</v>
      </c>
      <c r="M47" s="97">
        <v>0.9</v>
      </c>
      <c r="N47" s="95">
        <v>6</v>
      </c>
      <c r="O47" s="95"/>
      <c r="P47" s="97">
        <v>12</v>
      </c>
      <c r="Q47" s="95">
        <f t="shared" si="26"/>
        <v>174375</v>
      </c>
      <c r="R47" s="95">
        <f t="shared" si="8"/>
        <v>3033280.3294915948</v>
      </c>
      <c r="S47" s="95">
        <f t="shared" si="27"/>
        <v>105785.65149101937</v>
      </c>
      <c r="T47" s="95">
        <f t="shared" si="9"/>
        <v>68589.348508980635</v>
      </c>
      <c r="U47" s="96">
        <v>0.606656065898319</v>
      </c>
      <c r="V47" s="95"/>
      <c r="W47" s="97">
        <v>105785.65</v>
      </c>
      <c r="X47" s="95">
        <f t="shared" si="3"/>
        <v>3033280.3294915948</v>
      </c>
      <c r="Y47" s="95">
        <f t="shared" si="3"/>
        <v>1.4910193713149056E-3</v>
      </c>
      <c r="Z47" s="98">
        <f t="shared" si="10"/>
        <v>3033280.3294915948</v>
      </c>
      <c r="AA47" s="98">
        <f t="shared" si="10"/>
        <v>1.4910193713149056E-3</v>
      </c>
      <c r="AB47" s="115"/>
      <c r="AC47" s="115"/>
      <c r="AD47" s="98">
        <f t="shared" si="19"/>
        <v>1.4910193713149056E-3</v>
      </c>
      <c r="AE47" s="100">
        <v>0</v>
      </c>
      <c r="AF47" s="100">
        <f t="shared" si="28"/>
        <v>2.8502162414621855E-2</v>
      </c>
      <c r="AG47" s="100"/>
      <c r="AH47" s="101"/>
      <c r="AI47" s="101"/>
      <c r="AJ47" s="102"/>
      <c r="AK47" s="102"/>
      <c r="AL47" s="103"/>
      <c r="AM47" s="69">
        <f t="shared" si="11"/>
        <v>1.4910193713149056E-3</v>
      </c>
      <c r="AN47" s="69"/>
      <c r="AO47" s="69"/>
      <c r="AP47" s="69"/>
      <c r="AQ47" s="104">
        <f t="shared" si="12"/>
        <v>1.4910193713149056E-3</v>
      </c>
      <c r="AR47" s="104"/>
      <c r="AS47" s="104">
        <f t="shared" si="13"/>
        <v>1.4910193713149056E-3</v>
      </c>
      <c r="AT47" s="104">
        <f t="shared" si="14"/>
        <v>0</v>
      </c>
      <c r="AU47" s="181">
        <f t="shared" si="29"/>
        <v>3.2064932716449585E-2</v>
      </c>
      <c r="AV47" s="106"/>
      <c r="AW47" s="106"/>
      <c r="AX47" s="107"/>
      <c r="AY47" s="107"/>
      <c r="AZ47" s="107"/>
      <c r="BA47" s="107"/>
      <c r="BB47" s="108">
        <f t="shared" si="15"/>
        <v>3.2064932716449585E-2</v>
      </c>
      <c r="BC47" s="108">
        <f t="shared" si="30"/>
        <v>3.6645637390228095E-2</v>
      </c>
      <c r="BD47" s="109"/>
      <c r="BE47" s="109"/>
      <c r="BF47" s="109"/>
      <c r="BG47" s="110">
        <f t="shared" si="31"/>
        <v>4.2753243621932779E-2</v>
      </c>
      <c r="BH47" s="110"/>
      <c r="BI47" s="78">
        <f t="shared" si="16"/>
        <v>1.4910193713149056E-3</v>
      </c>
      <c r="BJ47" s="116">
        <f t="shared" si="17"/>
        <v>6.6267527613995805E-2</v>
      </c>
      <c r="BK47" s="116"/>
      <c r="BL47" s="79"/>
      <c r="BM47" s="111"/>
    </row>
    <row r="48" spans="1:66" s="112" customFormat="1" ht="25.5">
      <c r="A48" s="84">
        <f t="shared" si="18"/>
        <v>34</v>
      </c>
      <c r="B48" s="85" t="s">
        <v>132</v>
      </c>
      <c r="C48" s="86" t="s">
        <v>133</v>
      </c>
      <c r="D48" s="85" t="s">
        <v>120</v>
      </c>
      <c r="E48" s="87" t="s">
        <v>65</v>
      </c>
      <c r="F48" s="85"/>
      <c r="G48" s="85"/>
      <c r="H48" s="90">
        <v>43617</v>
      </c>
      <c r="I48" s="90">
        <v>43617</v>
      </c>
      <c r="J48" s="91">
        <v>5000000</v>
      </c>
      <c r="K48" s="120">
        <v>7.7499999999999999E-2</v>
      </c>
      <c r="L48" s="63">
        <v>7.4999999999999997E-2</v>
      </c>
      <c r="M48" s="97">
        <v>0.9</v>
      </c>
      <c r="N48" s="95">
        <v>6</v>
      </c>
      <c r="O48" s="95"/>
      <c r="P48" s="97">
        <v>12</v>
      </c>
      <c r="Q48" s="95">
        <f t="shared" si="26"/>
        <v>174375</v>
      </c>
      <c r="R48" s="95">
        <f t="shared" si="8"/>
        <v>3033280.3294915948</v>
      </c>
      <c r="S48" s="95">
        <f t="shared" si="27"/>
        <v>105785.65149101937</v>
      </c>
      <c r="T48" s="95">
        <f t="shared" si="9"/>
        <v>68589.348508980635</v>
      </c>
      <c r="U48" s="96">
        <v>0.606656065898319</v>
      </c>
      <c r="V48" s="95"/>
      <c r="W48" s="97">
        <v>105785.65</v>
      </c>
      <c r="X48" s="95">
        <f t="shared" si="3"/>
        <v>3033280.3294915948</v>
      </c>
      <c r="Y48" s="95">
        <f t="shared" si="3"/>
        <v>1.4910193713149056E-3</v>
      </c>
      <c r="Z48" s="98">
        <f t="shared" si="10"/>
        <v>3033280.3294915948</v>
      </c>
      <c r="AA48" s="98">
        <f t="shared" si="10"/>
        <v>1.4910193713149056E-3</v>
      </c>
      <c r="AB48" s="115"/>
      <c r="AC48" s="115"/>
      <c r="AD48" s="98">
        <f t="shared" si="19"/>
        <v>1.4910193713149056E-3</v>
      </c>
      <c r="AE48" s="100">
        <v>0</v>
      </c>
      <c r="AF48" s="100">
        <f t="shared" si="28"/>
        <v>2.8502162414621855E-2</v>
      </c>
      <c r="AG48" s="100"/>
      <c r="AH48" s="101"/>
      <c r="AI48" s="101"/>
      <c r="AJ48" s="102"/>
      <c r="AK48" s="102"/>
      <c r="AL48" s="103"/>
      <c r="AM48" s="69">
        <f t="shared" si="11"/>
        <v>1.4910193713149056E-3</v>
      </c>
      <c r="AN48" s="69"/>
      <c r="AO48" s="69"/>
      <c r="AP48" s="69"/>
      <c r="AQ48" s="104">
        <f t="shared" si="12"/>
        <v>1.4910193713149056E-3</v>
      </c>
      <c r="AR48" s="104"/>
      <c r="AS48" s="104">
        <f t="shared" si="13"/>
        <v>1.4910193713149056E-3</v>
      </c>
      <c r="AT48" s="104">
        <f t="shared" si="14"/>
        <v>0</v>
      </c>
      <c r="AU48" s="181">
        <f t="shared" si="29"/>
        <v>3.2064932716449585E-2</v>
      </c>
      <c r="AV48" s="106"/>
      <c r="AW48" s="106"/>
      <c r="AX48" s="107"/>
      <c r="AY48" s="107"/>
      <c r="AZ48" s="107"/>
      <c r="BA48" s="107"/>
      <c r="BB48" s="108">
        <f t="shared" si="15"/>
        <v>3.2064932716449585E-2</v>
      </c>
      <c r="BC48" s="108">
        <f t="shared" si="30"/>
        <v>3.6645637390228095E-2</v>
      </c>
      <c r="BD48" s="109"/>
      <c r="BE48" s="109"/>
      <c r="BF48" s="109"/>
      <c r="BG48" s="110">
        <f t="shared" si="31"/>
        <v>4.2753243621932779E-2</v>
      </c>
      <c r="BH48" s="110"/>
      <c r="BI48" s="78">
        <f t="shared" si="16"/>
        <v>1.4910193713149056E-3</v>
      </c>
      <c r="BJ48" s="116">
        <f t="shared" si="17"/>
        <v>6.6267527613995805E-2</v>
      </c>
      <c r="BK48" s="116"/>
      <c r="BL48" s="79"/>
      <c r="BM48" s="111"/>
    </row>
    <row r="49" spans="1:66" s="170" customFormat="1" ht="25.5" hidden="1">
      <c r="A49" s="150"/>
      <c r="B49" s="151" t="s">
        <v>132</v>
      </c>
      <c r="C49" s="152" t="s">
        <v>133</v>
      </c>
      <c r="D49" s="153"/>
      <c r="E49" s="127"/>
      <c r="F49" s="153"/>
      <c r="G49" s="153"/>
      <c r="H49" s="155"/>
      <c r="I49" s="155"/>
      <c r="J49" s="156"/>
      <c r="K49" s="157"/>
      <c r="L49" s="63">
        <v>7.4999999999999997E-2</v>
      </c>
      <c r="M49" s="93">
        <v>0.9</v>
      </c>
      <c r="N49" s="94">
        <v>8</v>
      </c>
      <c r="O49" s="94">
        <v>4</v>
      </c>
      <c r="P49" s="93">
        <v>12</v>
      </c>
      <c r="Q49" s="158"/>
      <c r="R49" s="158"/>
      <c r="S49" s="158"/>
      <c r="T49" s="158"/>
      <c r="U49" s="159"/>
      <c r="V49" s="158"/>
      <c r="W49" s="160"/>
      <c r="X49" s="158"/>
      <c r="Y49" s="158"/>
      <c r="Z49" s="161"/>
      <c r="AA49" s="161"/>
      <c r="AB49" s="162"/>
      <c r="AC49" s="162"/>
      <c r="AD49" s="161"/>
      <c r="AE49" s="163"/>
      <c r="AF49" s="163"/>
      <c r="AG49" s="163"/>
      <c r="AH49" s="102"/>
      <c r="AI49" s="102"/>
      <c r="AJ49" s="102"/>
      <c r="AK49" s="102"/>
      <c r="AL49" s="102"/>
      <c r="AM49" s="70"/>
      <c r="AN49" s="70"/>
      <c r="AO49" s="70"/>
      <c r="AP49" s="70"/>
      <c r="AQ49" s="70"/>
      <c r="AR49" s="70"/>
      <c r="AS49" s="69">
        <f t="shared" si="13"/>
        <v>0</v>
      </c>
      <c r="AT49" s="69">
        <f t="shared" si="14"/>
        <v>0</v>
      </c>
      <c r="AU49" s="136"/>
      <c r="AV49" s="165"/>
      <c r="AW49" s="165"/>
      <c r="AX49" s="166"/>
      <c r="AY49" s="166"/>
      <c r="AZ49" s="166"/>
      <c r="BA49" s="166"/>
      <c r="BB49" s="137"/>
      <c r="BC49" s="137"/>
      <c r="BD49" s="167"/>
      <c r="BE49" s="167"/>
      <c r="BF49" s="167"/>
      <c r="BG49" s="168"/>
      <c r="BH49" s="168"/>
      <c r="BI49" s="78">
        <f t="shared" si="16"/>
        <v>0</v>
      </c>
      <c r="BJ49" s="79">
        <f t="shared" si="17"/>
        <v>0</v>
      </c>
      <c r="BK49" s="79"/>
      <c r="BL49" s="169">
        <v>15000000</v>
      </c>
      <c r="BM49" s="186" t="s">
        <v>72</v>
      </c>
      <c r="BN49" s="170" t="s">
        <v>73</v>
      </c>
    </row>
    <row r="50" spans="1:66" s="170" customFormat="1" ht="25.5" hidden="1">
      <c r="A50" s="150"/>
      <c r="B50" s="151" t="s">
        <v>132</v>
      </c>
      <c r="C50" s="152" t="s">
        <v>133</v>
      </c>
      <c r="D50" s="153"/>
      <c r="E50" s="127"/>
      <c r="F50" s="153"/>
      <c r="G50" s="153"/>
      <c r="H50" s="155"/>
      <c r="I50" s="155"/>
      <c r="J50" s="156"/>
      <c r="K50" s="157"/>
      <c r="L50" s="63">
        <v>7.4999999999999997E-2</v>
      </c>
      <c r="M50" s="93">
        <v>0.9</v>
      </c>
      <c r="N50" s="94">
        <v>8</v>
      </c>
      <c r="O50" s="94">
        <v>4</v>
      </c>
      <c r="P50" s="93">
        <v>12</v>
      </c>
      <c r="Q50" s="158"/>
      <c r="R50" s="158"/>
      <c r="S50" s="158"/>
      <c r="T50" s="158"/>
      <c r="U50" s="159"/>
      <c r="V50" s="158"/>
      <c r="W50" s="160"/>
      <c r="X50" s="158"/>
      <c r="Y50" s="158"/>
      <c r="Z50" s="161"/>
      <c r="AA50" s="161"/>
      <c r="AB50" s="162"/>
      <c r="AC50" s="162"/>
      <c r="AD50" s="161"/>
      <c r="AE50" s="163"/>
      <c r="AF50" s="163"/>
      <c r="AG50" s="163"/>
      <c r="AH50" s="102"/>
      <c r="AI50" s="102"/>
      <c r="AJ50" s="102"/>
      <c r="AK50" s="102"/>
      <c r="AL50" s="102"/>
      <c r="AM50" s="70"/>
      <c r="AN50" s="70"/>
      <c r="AO50" s="70"/>
      <c r="AP50" s="70"/>
      <c r="AQ50" s="70"/>
      <c r="AR50" s="70"/>
      <c r="AS50" s="69">
        <f t="shared" si="13"/>
        <v>0</v>
      </c>
      <c r="AT50" s="69">
        <f t="shared" si="14"/>
        <v>0</v>
      </c>
      <c r="AU50" s="136"/>
      <c r="AV50" s="165"/>
      <c r="AW50" s="165"/>
      <c r="AX50" s="166"/>
      <c r="AY50" s="166"/>
      <c r="AZ50" s="166"/>
      <c r="BA50" s="166"/>
      <c r="BB50" s="137"/>
      <c r="BC50" s="137"/>
      <c r="BD50" s="167"/>
      <c r="BE50" s="167"/>
      <c r="BF50" s="167"/>
      <c r="BG50" s="168"/>
      <c r="BH50" s="168"/>
      <c r="BI50" s="78">
        <f t="shared" si="16"/>
        <v>0</v>
      </c>
      <c r="BJ50" s="79">
        <f t="shared" si="17"/>
        <v>0</v>
      </c>
      <c r="BK50" s="79"/>
      <c r="BL50" s="169">
        <v>10000000</v>
      </c>
      <c r="BM50" s="186" t="s">
        <v>72</v>
      </c>
      <c r="BN50" s="170" t="s">
        <v>73</v>
      </c>
    </row>
    <row r="51" spans="1:66" s="112" customFormat="1" ht="25.5">
      <c r="A51" s="84">
        <f>A48+1</f>
        <v>35</v>
      </c>
      <c r="B51" s="85" t="s">
        <v>134</v>
      </c>
      <c r="C51" s="86" t="s">
        <v>135</v>
      </c>
      <c r="D51" s="85" t="s">
        <v>64</v>
      </c>
      <c r="E51" s="87" t="s">
        <v>65</v>
      </c>
      <c r="F51" s="85"/>
      <c r="G51" s="85"/>
      <c r="H51" s="90">
        <v>43525</v>
      </c>
      <c r="I51" s="90">
        <v>43525</v>
      </c>
      <c r="J51" s="91">
        <v>15000000</v>
      </c>
      <c r="K51" s="120">
        <v>7.7499999999999999E-2</v>
      </c>
      <c r="L51" s="63">
        <v>7.4999999999999997E-2</v>
      </c>
      <c r="M51" s="97">
        <v>0.9</v>
      </c>
      <c r="N51" s="95">
        <v>9</v>
      </c>
      <c r="O51" s="95"/>
      <c r="P51" s="97">
        <v>12</v>
      </c>
      <c r="Q51" s="95">
        <f>J51*K51*M51*N51/P51</f>
        <v>784687.5</v>
      </c>
      <c r="R51" s="95">
        <f t="shared" si="8"/>
        <v>9099840.9884747844</v>
      </c>
      <c r="S51" s="95">
        <f>R51*K51*M51*N51/P51</f>
        <v>476035.43170958717</v>
      </c>
      <c r="T51" s="95">
        <f t="shared" si="9"/>
        <v>308652.06829041283</v>
      </c>
      <c r="U51" s="96">
        <v>0.606656065898319</v>
      </c>
      <c r="V51" s="149">
        <v>10000000</v>
      </c>
      <c r="W51" s="122">
        <v>581250</v>
      </c>
      <c r="X51" s="95">
        <f t="shared" si="3"/>
        <v>-900159.01152521558</v>
      </c>
      <c r="Y51" s="95">
        <f t="shared" si="3"/>
        <v>-105214.56829041283</v>
      </c>
      <c r="Z51" s="98">
        <f t="shared" si="10"/>
        <v>-900159.01152521558</v>
      </c>
      <c r="AA51" s="98">
        <f t="shared" si="10"/>
        <v>-105214.56829041283</v>
      </c>
      <c r="AB51" s="98"/>
      <c r="AC51" s="98"/>
      <c r="AD51" s="98">
        <f t="shared" si="19"/>
        <v>-105214.56829041283</v>
      </c>
      <c r="AE51" s="100">
        <v>-1810143.1103726937</v>
      </c>
      <c r="AF51" s="100">
        <f>AD51/K51/M51/9*P51</f>
        <v>-2011270.1226363266</v>
      </c>
      <c r="AG51" s="100"/>
      <c r="AH51" s="101"/>
      <c r="AI51" s="101"/>
      <c r="AJ51" s="102"/>
      <c r="AK51" s="102"/>
      <c r="AL51" s="103"/>
      <c r="AM51" s="69">
        <f t="shared" si="11"/>
        <v>-105214.56829041283</v>
      </c>
      <c r="AN51" s="69"/>
      <c r="AO51" s="69"/>
      <c r="AP51" s="69"/>
      <c r="AQ51" s="104">
        <f t="shared" si="12"/>
        <v>-105214.56829041283</v>
      </c>
      <c r="AR51" s="104"/>
      <c r="AS51" s="69">
        <f t="shared" si="13"/>
        <v>-105214.56829041283</v>
      </c>
      <c r="AT51" s="104">
        <f t="shared" si="14"/>
        <v>0</v>
      </c>
      <c r="AU51" s="105">
        <f>AD51/K51/M51/8*P51</f>
        <v>-2262678.8879658673</v>
      </c>
      <c r="AV51" s="106"/>
      <c r="AW51" s="106"/>
      <c r="AX51" s="107"/>
      <c r="AY51" s="107"/>
      <c r="AZ51" s="107"/>
      <c r="BA51" s="107"/>
      <c r="BB51" s="108">
        <f t="shared" si="15"/>
        <v>-2262678.8879658673</v>
      </c>
      <c r="BC51" s="108">
        <f>AM51/K51/M51/7*P51</f>
        <v>-2585918.7291038483</v>
      </c>
      <c r="BD51" s="109"/>
      <c r="BE51" s="109"/>
      <c r="BF51" s="109"/>
      <c r="BG51" s="110">
        <f>AQ51/K51/M51/6*P51</f>
        <v>-3016905.1839544899</v>
      </c>
      <c r="BH51" s="110"/>
      <c r="BI51" s="110"/>
      <c r="BJ51" s="123">
        <f t="shared" si="17"/>
        <v>-4676203.0351294596</v>
      </c>
      <c r="BK51" s="123"/>
      <c r="BL51" s="79"/>
      <c r="BM51" s="111"/>
    </row>
    <row r="52" spans="1:66" s="170" customFormat="1" ht="51" hidden="1">
      <c r="A52" s="150"/>
      <c r="B52" s="151" t="s">
        <v>134</v>
      </c>
      <c r="C52" s="152" t="s">
        <v>135</v>
      </c>
      <c r="D52" s="153" t="s">
        <v>64</v>
      </c>
      <c r="E52" s="127"/>
      <c r="F52" s="153"/>
      <c r="G52" s="153"/>
      <c r="H52" s="155"/>
      <c r="I52" s="155"/>
      <c r="J52" s="156"/>
      <c r="K52" s="157"/>
      <c r="L52" s="142">
        <v>7.4999999999999997E-2</v>
      </c>
      <c r="M52" s="160">
        <v>0.9</v>
      </c>
      <c r="N52" s="158">
        <v>9</v>
      </c>
      <c r="O52" s="158">
        <v>4</v>
      </c>
      <c r="P52" s="160">
        <v>12</v>
      </c>
      <c r="Q52" s="158"/>
      <c r="R52" s="158">
        <f t="shared" si="8"/>
        <v>0</v>
      </c>
      <c r="S52" s="158"/>
      <c r="T52" s="158"/>
      <c r="U52" s="159"/>
      <c r="V52" s="192"/>
      <c r="W52" s="193"/>
      <c r="X52" s="158"/>
      <c r="Y52" s="158"/>
      <c r="Z52" s="161"/>
      <c r="AA52" s="161"/>
      <c r="AB52" s="161"/>
      <c r="AC52" s="161"/>
      <c r="AD52" s="161"/>
      <c r="AE52" s="163"/>
      <c r="AF52" s="163"/>
      <c r="AG52" s="163"/>
      <c r="AH52" s="102"/>
      <c r="AI52" s="102"/>
      <c r="AJ52" s="102"/>
      <c r="AK52" s="102"/>
      <c r="AL52" s="102"/>
      <c r="AM52" s="70"/>
      <c r="AN52" s="70"/>
      <c r="AO52" s="70"/>
      <c r="AP52" s="70"/>
      <c r="AQ52" s="70"/>
      <c r="AR52" s="70"/>
      <c r="AS52" s="69">
        <f t="shared" si="13"/>
        <v>0</v>
      </c>
      <c r="AT52" s="69">
        <f t="shared" si="14"/>
        <v>0</v>
      </c>
      <c r="AU52" s="164"/>
      <c r="AV52" s="165"/>
      <c r="AW52" s="165"/>
      <c r="AX52" s="166"/>
      <c r="AY52" s="166"/>
      <c r="AZ52" s="166"/>
      <c r="BA52" s="166"/>
      <c r="BB52" s="137"/>
      <c r="BC52" s="137"/>
      <c r="BD52" s="167"/>
      <c r="BE52" s="167"/>
      <c r="BF52" s="167"/>
      <c r="BG52" s="168"/>
      <c r="BH52" s="168"/>
      <c r="BI52" s="78">
        <f t="shared" si="16"/>
        <v>0</v>
      </c>
      <c r="BJ52" s="79">
        <f t="shared" si="17"/>
        <v>0</v>
      </c>
      <c r="BK52" s="79"/>
      <c r="BL52" s="169">
        <v>10000000</v>
      </c>
      <c r="BM52" s="186" t="s">
        <v>136</v>
      </c>
      <c r="BN52" s="81" t="s">
        <v>64</v>
      </c>
    </row>
    <row r="53" spans="1:66" s="5" customFormat="1" ht="25.5">
      <c r="A53" s="171">
        <f>A51+1</f>
        <v>36</v>
      </c>
      <c r="B53" s="87" t="s">
        <v>137</v>
      </c>
      <c r="C53" s="172" t="s">
        <v>138</v>
      </c>
      <c r="D53" s="87" t="s">
        <v>64</v>
      </c>
      <c r="E53" s="87" t="s">
        <v>98</v>
      </c>
      <c r="F53" s="87"/>
      <c r="G53" s="87"/>
      <c r="H53" s="174">
        <v>43497</v>
      </c>
      <c r="I53" s="90" t="s">
        <v>128</v>
      </c>
      <c r="J53" s="175">
        <v>15000000</v>
      </c>
      <c r="K53" s="121">
        <v>7.7499999999999999E-2</v>
      </c>
      <c r="L53" s="63">
        <v>7.4999999999999997E-2</v>
      </c>
      <c r="M53" s="176">
        <v>0.9</v>
      </c>
      <c r="N53" s="177">
        <v>10</v>
      </c>
      <c r="O53" s="177"/>
      <c r="P53" s="176">
        <v>12</v>
      </c>
      <c r="Q53" s="177">
        <f>J53*K53*M53*N53/P53</f>
        <v>871875</v>
      </c>
      <c r="R53" s="177">
        <f t="shared" si="8"/>
        <v>9099840.9884747844</v>
      </c>
      <c r="S53" s="177">
        <f>R53*K53*M53*N53/P53</f>
        <v>528928.25745509693</v>
      </c>
      <c r="T53" s="177">
        <f t="shared" si="9"/>
        <v>342946.74254490307</v>
      </c>
      <c r="U53" s="178">
        <v>0.606656065898319</v>
      </c>
      <c r="V53" s="177"/>
      <c r="W53" s="176"/>
      <c r="X53" s="177">
        <f t="shared" si="3"/>
        <v>9099840.9884747844</v>
      </c>
      <c r="Y53" s="177">
        <f t="shared" si="3"/>
        <v>528928.25745509693</v>
      </c>
      <c r="Z53" s="179">
        <f t="shared" si="10"/>
        <v>9099840.9884747844</v>
      </c>
      <c r="AA53" s="179">
        <f t="shared" si="10"/>
        <v>528928.25745509693</v>
      </c>
      <c r="AB53" s="179"/>
      <c r="AC53" s="179"/>
      <c r="AD53" s="179">
        <f t="shared" si="19"/>
        <v>528928.25745509693</v>
      </c>
      <c r="AE53" s="180">
        <v>9099840.9884747863</v>
      </c>
      <c r="AF53" s="180">
        <f>AD53/K53/M53/9*P53</f>
        <v>10110934.431638651</v>
      </c>
      <c r="AG53" s="180"/>
      <c r="AH53" s="104">
        <v>-528928.26</v>
      </c>
      <c r="AI53" s="104"/>
      <c r="AJ53" s="70"/>
      <c r="AK53" s="70"/>
      <c r="AL53" s="71"/>
      <c r="AM53" s="69">
        <f t="shared" si="11"/>
        <v>-2.5449030799791217E-3</v>
      </c>
      <c r="AN53" s="69"/>
      <c r="AO53" s="69"/>
      <c r="AP53" s="69"/>
      <c r="AQ53" s="104">
        <f t="shared" si="12"/>
        <v>-2.5449030799791217E-3</v>
      </c>
      <c r="AR53" s="104"/>
      <c r="AS53" s="69">
        <f t="shared" si="13"/>
        <v>-2.5449030799791217E-3</v>
      </c>
      <c r="AT53" s="104">
        <f t="shared" si="14"/>
        <v>0</v>
      </c>
      <c r="AU53" s="181">
        <f>AD53/K53/M53/8*P53</f>
        <v>11374801.235593483</v>
      </c>
      <c r="AV53" s="181"/>
      <c r="AW53" s="105">
        <v>-11374801.24</v>
      </c>
      <c r="AX53" s="182"/>
      <c r="AY53" s="182"/>
      <c r="AZ53" s="182"/>
      <c r="BA53" s="182"/>
      <c r="BB53" s="108">
        <f t="shared" si="15"/>
        <v>-4.4065173715353012E-3</v>
      </c>
      <c r="BC53" s="108">
        <f>AM53/K53/M53/7*P53</f>
        <v>-6.2547541136199605E-2</v>
      </c>
      <c r="BD53" s="183"/>
      <c r="BE53" s="183"/>
      <c r="BF53" s="183"/>
      <c r="BG53" s="110">
        <f>AQ53/K53/M53/6*P53</f>
        <v>-7.2972131325566209E-2</v>
      </c>
      <c r="BH53" s="110"/>
      <c r="BI53" s="110">
        <f t="shared" si="16"/>
        <v>-2.5449030799791217E-3</v>
      </c>
      <c r="BJ53" s="116">
        <f t="shared" si="17"/>
        <v>-0.11310680355462766</v>
      </c>
      <c r="BK53" s="116"/>
      <c r="BL53" s="79"/>
      <c r="BM53" s="139"/>
    </row>
    <row r="54" spans="1:66" s="112" customFormat="1" ht="25.5">
      <c r="A54" s="84">
        <f t="shared" si="18"/>
        <v>37</v>
      </c>
      <c r="B54" s="85" t="s">
        <v>139</v>
      </c>
      <c r="C54" s="86" t="s">
        <v>140</v>
      </c>
      <c r="D54" s="85" t="s">
        <v>64</v>
      </c>
      <c r="E54" s="87" t="s">
        <v>98</v>
      </c>
      <c r="F54" s="85"/>
      <c r="G54" s="85"/>
      <c r="H54" s="90">
        <v>43497</v>
      </c>
      <c r="I54" s="90">
        <v>43497</v>
      </c>
      <c r="J54" s="91">
        <v>18000000</v>
      </c>
      <c r="K54" s="120">
        <v>7.7499999999999999E-2</v>
      </c>
      <c r="L54" s="63">
        <v>7.4999999999999997E-2</v>
      </c>
      <c r="M54" s="97">
        <v>0.9</v>
      </c>
      <c r="N54" s="95">
        <v>10</v>
      </c>
      <c r="O54" s="95"/>
      <c r="P54" s="97">
        <v>12</v>
      </c>
      <c r="Q54" s="95">
        <f>J54*K54*M54*N54/P54</f>
        <v>1046250</v>
      </c>
      <c r="R54" s="95">
        <f t="shared" si="8"/>
        <v>10919809.186169742</v>
      </c>
      <c r="S54" s="95">
        <f>R54*K54*M54*N54/P54</f>
        <v>634713.90894611611</v>
      </c>
      <c r="T54" s="95">
        <f t="shared" si="9"/>
        <v>411536.09105388389</v>
      </c>
      <c r="U54" s="96">
        <v>0.606656065898319</v>
      </c>
      <c r="V54" s="95"/>
      <c r="W54" s="97"/>
      <c r="X54" s="95">
        <f t="shared" si="3"/>
        <v>10919809.186169742</v>
      </c>
      <c r="Y54" s="95">
        <f t="shared" si="3"/>
        <v>634713.90894611611</v>
      </c>
      <c r="Z54" s="98">
        <f t="shared" si="10"/>
        <v>10919809.186169742</v>
      </c>
      <c r="AA54" s="98">
        <f t="shared" si="10"/>
        <v>634713.90894611611</v>
      </c>
      <c r="AB54" s="100">
        <f>719296.87-AB55</f>
        <v>634713.91</v>
      </c>
      <c r="AC54" s="100"/>
      <c r="AD54" s="98">
        <f t="shared" si="19"/>
        <v>-1.0538839269429445E-3</v>
      </c>
      <c r="AE54" s="100">
        <v>783.74432570487261</v>
      </c>
      <c r="AF54" s="100">
        <f>AD54/K54/M54/9*P54</f>
        <v>-2.0145929308347802E-2</v>
      </c>
      <c r="AG54" s="100"/>
      <c r="AH54" s="101"/>
      <c r="AI54" s="101"/>
      <c r="AJ54" s="102"/>
      <c r="AK54" s="102"/>
      <c r="AL54" s="103"/>
      <c r="AM54" s="69">
        <f t="shared" si="11"/>
        <v>-1.0538839269429445E-3</v>
      </c>
      <c r="AN54" s="69"/>
      <c r="AO54" s="69"/>
      <c r="AP54" s="69"/>
      <c r="AQ54" s="104">
        <f t="shared" si="12"/>
        <v>-1.0538839269429445E-3</v>
      </c>
      <c r="AR54" s="104"/>
      <c r="AS54" s="69">
        <f t="shared" si="13"/>
        <v>-1.0538839269429445E-3</v>
      </c>
      <c r="AT54" s="104">
        <f t="shared" si="14"/>
        <v>0</v>
      </c>
      <c r="AU54" s="105">
        <f>AD54/K54/M54/8*P54</f>
        <v>-2.266417047189128E-2</v>
      </c>
      <c r="AV54" s="106"/>
      <c r="AW54" s="106"/>
      <c r="AX54" s="107"/>
      <c r="AY54" s="107"/>
      <c r="AZ54" s="107"/>
      <c r="BA54" s="107"/>
      <c r="BB54" s="108">
        <f t="shared" si="15"/>
        <v>-2.266417047189128E-2</v>
      </c>
      <c r="BC54" s="108">
        <f>AM54/K54/M54/7*P54</f>
        <v>-2.5901909110732889E-2</v>
      </c>
      <c r="BD54" s="109"/>
      <c r="BE54" s="109"/>
      <c r="BF54" s="109"/>
      <c r="BG54" s="110">
        <f>AQ54/K54/M54/6*P54</f>
        <v>-3.0218893962521705E-2</v>
      </c>
      <c r="BH54" s="110"/>
      <c r="BI54" s="110">
        <f t="shared" si="16"/>
        <v>-1.0538839269429445E-3</v>
      </c>
      <c r="BJ54" s="116">
        <f t="shared" si="17"/>
        <v>-4.6839285641908646E-2</v>
      </c>
      <c r="BK54" s="116"/>
      <c r="BL54" s="79"/>
      <c r="BM54" s="111"/>
    </row>
    <row r="55" spans="1:66" s="112" customFormat="1" ht="25.5">
      <c r="A55" s="84">
        <f t="shared" si="18"/>
        <v>38</v>
      </c>
      <c r="B55" s="85" t="s">
        <v>139</v>
      </c>
      <c r="C55" s="86" t="s">
        <v>140</v>
      </c>
      <c r="D55" s="85" t="s">
        <v>120</v>
      </c>
      <c r="E55" s="87"/>
      <c r="F55" s="85"/>
      <c r="G55" s="85"/>
      <c r="H55" s="90">
        <v>43739</v>
      </c>
      <c r="I55" s="90">
        <v>43739</v>
      </c>
      <c r="J55" s="91">
        <v>12000000</v>
      </c>
      <c r="K55" s="120">
        <v>7.7499999999999999E-2</v>
      </c>
      <c r="L55" s="63">
        <v>7.4999999999999997E-2</v>
      </c>
      <c r="M55" s="97">
        <v>0.9</v>
      </c>
      <c r="N55" s="95">
        <v>2</v>
      </c>
      <c r="O55" s="95"/>
      <c r="P55" s="97">
        <v>12</v>
      </c>
      <c r="Q55" s="95">
        <f>J55*K55*M55*N55/P55</f>
        <v>139500</v>
      </c>
      <c r="R55" s="95">
        <f t="shared" si="8"/>
        <v>7279872.7907798281</v>
      </c>
      <c r="S55" s="95">
        <f>R55*K55*M55*N55/P55</f>
        <v>84628.521192815504</v>
      </c>
      <c r="T55" s="95">
        <f t="shared" si="9"/>
        <v>54871.478807184496</v>
      </c>
      <c r="U55" s="96">
        <v>0.606656065898319</v>
      </c>
      <c r="V55" s="95"/>
      <c r="W55" s="97"/>
      <c r="X55" s="95">
        <f t="shared" si="3"/>
        <v>7279872.7907798281</v>
      </c>
      <c r="Y55" s="95">
        <f t="shared" si="3"/>
        <v>84628.521192815504</v>
      </c>
      <c r="Z55" s="98">
        <f t="shared" si="10"/>
        <v>7279872.7907798281</v>
      </c>
      <c r="AA55" s="98">
        <f t="shared" si="10"/>
        <v>84628.521192815504</v>
      </c>
      <c r="AB55" s="100">
        <v>84582.96</v>
      </c>
      <c r="AC55" s="100"/>
      <c r="AD55" s="98">
        <f t="shared" si="19"/>
        <v>45.561192815497634</v>
      </c>
      <c r="AE55" s="100">
        <v>0</v>
      </c>
      <c r="AF55" s="100">
        <f>AD55/K55/M55/9*P55</f>
        <v>870.94275394021759</v>
      </c>
      <c r="AG55" s="100"/>
      <c r="AH55" s="101"/>
      <c r="AI55" s="101"/>
      <c r="AJ55" s="102"/>
      <c r="AK55" s="102"/>
      <c r="AL55" s="103"/>
      <c r="AM55" s="69">
        <f t="shared" si="11"/>
        <v>45.561192815497634</v>
      </c>
      <c r="AN55" s="69"/>
      <c r="AO55" s="69"/>
      <c r="AP55" s="69"/>
      <c r="AQ55" s="104">
        <f t="shared" si="12"/>
        <v>45.561192815497634</v>
      </c>
      <c r="AR55" s="104"/>
      <c r="AS55" s="69">
        <f t="shared" si="13"/>
        <v>45.561192815497634</v>
      </c>
      <c r="AT55" s="104">
        <f t="shared" si="14"/>
        <v>0</v>
      </c>
      <c r="AU55" s="181">
        <f>AD55/K55/M55/8*P55</f>
        <v>979.8105981827448</v>
      </c>
      <c r="AV55" s="106"/>
      <c r="AW55" s="106"/>
      <c r="AX55" s="107"/>
      <c r="AY55" s="107"/>
      <c r="AZ55" s="107"/>
      <c r="BA55" s="107"/>
      <c r="BB55" s="108">
        <f t="shared" si="15"/>
        <v>979.8105981827448</v>
      </c>
      <c r="BC55" s="108">
        <f>AM55/K55/M55/7*P55</f>
        <v>1119.7835407802797</v>
      </c>
      <c r="BD55" s="109"/>
      <c r="BE55" s="109"/>
      <c r="BF55" s="109"/>
      <c r="BG55" s="110">
        <f>AQ55/K55/M55/6*P55</f>
        <v>1306.4141309103263</v>
      </c>
      <c r="BH55" s="110"/>
      <c r="BI55" s="110">
        <f t="shared" si="16"/>
        <v>45.561192815497634</v>
      </c>
      <c r="BJ55" s="116">
        <f t="shared" si="17"/>
        <v>2024.9419029110061</v>
      </c>
      <c r="BK55" s="116"/>
      <c r="BL55" s="79"/>
      <c r="BM55" s="111"/>
    </row>
    <row r="56" spans="1:66" s="211" customFormat="1" ht="25.5" hidden="1">
      <c r="A56" s="194"/>
      <c r="B56" s="151" t="s">
        <v>139</v>
      </c>
      <c r="C56" s="152" t="s">
        <v>140</v>
      </c>
      <c r="D56" s="151"/>
      <c r="E56" s="117"/>
      <c r="F56" s="151"/>
      <c r="G56" s="151"/>
      <c r="H56" s="195"/>
      <c r="I56" s="195"/>
      <c r="J56" s="196"/>
      <c r="K56" s="197"/>
      <c r="L56" s="63">
        <v>7.4999999999999997E-2</v>
      </c>
      <c r="M56" s="93">
        <v>0.9</v>
      </c>
      <c r="N56" s="94">
        <v>8</v>
      </c>
      <c r="O56" s="94">
        <v>4</v>
      </c>
      <c r="P56" s="93">
        <v>12</v>
      </c>
      <c r="Q56" s="198"/>
      <c r="R56" s="198"/>
      <c r="S56" s="198"/>
      <c r="T56" s="198"/>
      <c r="U56" s="199"/>
      <c r="V56" s="198"/>
      <c r="W56" s="200"/>
      <c r="X56" s="198"/>
      <c r="Y56" s="198"/>
      <c r="Z56" s="201"/>
      <c r="AA56" s="201"/>
      <c r="AB56" s="202"/>
      <c r="AC56" s="202"/>
      <c r="AD56" s="201"/>
      <c r="AE56" s="202"/>
      <c r="AF56" s="202"/>
      <c r="AG56" s="202"/>
      <c r="AH56" s="203"/>
      <c r="AI56" s="203"/>
      <c r="AJ56" s="203"/>
      <c r="AK56" s="203"/>
      <c r="AL56" s="203"/>
      <c r="AM56" s="204"/>
      <c r="AN56" s="204"/>
      <c r="AO56" s="204"/>
      <c r="AP56" s="204"/>
      <c r="AQ56" s="204"/>
      <c r="AR56" s="204"/>
      <c r="AS56" s="69">
        <f t="shared" si="13"/>
        <v>0</v>
      </c>
      <c r="AT56" s="104">
        <f t="shared" si="14"/>
        <v>0</v>
      </c>
      <c r="AU56" s="181"/>
      <c r="AV56" s="106"/>
      <c r="AW56" s="106"/>
      <c r="AX56" s="107"/>
      <c r="AY56" s="107"/>
      <c r="AZ56" s="107"/>
      <c r="BA56" s="107"/>
      <c r="BB56" s="108"/>
      <c r="BC56" s="108"/>
      <c r="BD56" s="109"/>
      <c r="BE56" s="109"/>
      <c r="BF56" s="109"/>
      <c r="BG56" s="110"/>
      <c r="BH56" s="110"/>
      <c r="BI56" s="110">
        <f t="shared" si="16"/>
        <v>0</v>
      </c>
      <c r="BJ56" s="116">
        <f t="shared" si="17"/>
        <v>0</v>
      </c>
      <c r="BK56" s="116"/>
      <c r="BL56" s="143">
        <v>12000000</v>
      </c>
      <c r="BM56" s="144" t="s">
        <v>99</v>
      </c>
      <c r="BN56" s="145" t="s">
        <v>141</v>
      </c>
    </row>
    <row r="57" spans="1:66" s="185" customFormat="1" ht="38.25">
      <c r="A57" s="171">
        <f>A55+1</f>
        <v>39</v>
      </c>
      <c r="B57" s="87" t="s">
        <v>142</v>
      </c>
      <c r="C57" s="172" t="s">
        <v>143</v>
      </c>
      <c r="D57" s="87" t="s">
        <v>111</v>
      </c>
      <c r="E57" s="87" t="s">
        <v>65</v>
      </c>
      <c r="F57" s="87"/>
      <c r="G57" s="87"/>
      <c r="H57" s="174">
        <v>43497</v>
      </c>
      <c r="I57" s="174" t="s">
        <v>94</v>
      </c>
      <c r="J57" s="175">
        <v>200000</v>
      </c>
      <c r="K57" s="121">
        <v>7.7499999999999999E-2</v>
      </c>
      <c r="L57" s="121">
        <v>7.4999999999999997E-2</v>
      </c>
      <c r="M57" s="176">
        <v>0.9</v>
      </c>
      <c r="N57" s="177">
        <v>10</v>
      </c>
      <c r="O57" s="177"/>
      <c r="P57" s="176">
        <v>12</v>
      </c>
      <c r="Q57" s="177">
        <f>J57*K57*M57*N57/P57</f>
        <v>11625</v>
      </c>
      <c r="R57" s="177">
        <f t="shared" si="8"/>
        <v>121331.2131796638</v>
      </c>
      <c r="S57" s="177">
        <f>R57*K57*M57*N57/P57</f>
        <v>7052.3767660679587</v>
      </c>
      <c r="T57" s="177">
        <f t="shared" si="9"/>
        <v>4572.6232339320413</v>
      </c>
      <c r="U57" s="178">
        <v>0.606656065898319</v>
      </c>
      <c r="V57" s="177"/>
      <c r="W57" s="176"/>
      <c r="X57" s="177">
        <f t="shared" si="3"/>
        <v>121331.2131796638</v>
      </c>
      <c r="Y57" s="177">
        <f t="shared" si="3"/>
        <v>7052.3767660679587</v>
      </c>
      <c r="Z57" s="179">
        <f t="shared" si="10"/>
        <v>121331.2131796638</v>
      </c>
      <c r="AA57" s="179">
        <f t="shared" si="10"/>
        <v>7052.3767660679587</v>
      </c>
      <c r="AB57" s="180"/>
      <c r="AC57" s="180"/>
      <c r="AD57" s="179">
        <f t="shared" si="19"/>
        <v>7052.3767660679587</v>
      </c>
      <c r="AE57" s="180">
        <v>121331.21317966381</v>
      </c>
      <c r="AF57" s="180">
        <f>AD57/K57/M57/9*P57</f>
        <v>134812.45908851534</v>
      </c>
      <c r="AG57" s="180"/>
      <c r="AH57" s="104"/>
      <c r="AI57" s="104"/>
      <c r="AJ57" s="104"/>
      <c r="AK57" s="104"/>
      <c r="AL57" s="104"/>
      <c r="AM57" s="104">
        <f t="shared" si="11"/>
        <v>7052.3767660679587</v>
      </c>
      <c r="AN57" s="104"/>
      <c r="AO57" s="104"/>
      <c r="AP57" s="104"/>
      <c r="AQ57" s="104">
        <f>AM57-AN57-AO57-AP57-7052.38</f>
        <v>-3.2339320414394024E-3</v>
      </c>
      <c r="AR57" s="104"/>
      <c r="AS57" s="69">
        <f t="shared" si="13"/>
        <v>-3.2339320414394024E-3</v>
      </c>
      <c r="AT57" s="104">
        <f t="shared" si="14"/>
        <v>0</v>
      </c>
      <c r="AU57" s="181">
        <f>AD57/K57/M57/8*P57</f>
        <v>151664.01647457975</v>
      </c>
      <c r="AV57" s="181"/>
      <c r="AW57" s="181"/>
      <c r="AX57" s="182"/>
      <c r="AY57" s="182"/>
      <c r="AZ57" s="182"/>
      <c r="BA57" s="182"/>
      <c r="BB57" s="108">
        <f t="shared" si="15"/>
        <v>151664.01647457975</v>
      </c>
      <c r="BC57" s="108">
        <f t="shared" ref="BC57:BC74" si="32">AM57/K57/M57/7*P57</f>
        <v>173330.30454237686</v>
      </c>
      <c r="BD57" s="183"/>
      <c r="BE57" s="183"/>
      <c r="BF57" s="183"/>
      <c r="BG57" s="110">
        <f t="shared" ref="BG57:BG74" si="33">AQ57/K57/M57/6*P57</f>
        <v>-9.2729234163136984E-2</v>
      </c>
      <c r="BH57" s="110"/>
      <c r="BI57" s="110">
        <f t="shared" si="16"/>
        <v>-3.2339320414394024E-3</v>
      </c>
      <c r="BJ57" s="116">
        <f t="shared" si="17"/>
        <v>-0.14373031295286234</v>
      </c>
      <c r="BK57" s="116"/>
      <c r="BL57" s="116"/>
      <c r="BM57" s="184"/>
    </row>
    <row r="58" spans="1:66" s="112" customFormat="1" ht="38.25">
      <c r="A58" s="84"/>
      <c r="B58" s="85" t="s">
        <v>144</v>
      </c>
      <c r="C58" s="86" t="s">
        <v>145</v>
      </c>
      <c r="D58" s="85"/>
      <c r="E58" s="87" t="s">
        <v>65</v>
      </c>
      <c r="F58" s="89"/>
      <c r="G58" s="89"/>
      <c r="H58" s="90"/>
      <c r="I58" s="90" t="s">
        <v>146</v>
      </c>
      <c r="J58" s="91"/>
      <c r="K58" s="63">
        <v>7.7499999999999999E-2</v>
      </c>
      <c r="L58" s="63">
        <v>7.4999999999999997E-2</v>
      </c>
      <c r="M58" s="64">
        <v>0.9</v>
      </c>
      <c r="N58" s="65">
        <v>0</v>
      </c>
      <c r="O58" s="65"/>
      <c r="P58" s="64">
        <v>12</v>
      </c>
      <c r="Q58" s="95"/>
      <c r="R58" s="94"/>
      <c r="S58" s="95"/>
      <c r="T58" s="95"/>
      <c r="U58" s="96"/>
      <c r="V58" s="94"/>
      <c r="W58" s="97"/>
      <c r="X58" s="95"/>
      <c r="Y58" s="95"/>
      <c r="Z58" s="98">
        <f t="shared" si="10"/>
        <v>0</v>
      </c>
      <c r="AA58" s="98">
        <f t="shared" si="10"/>
        <v>0</v>
      </c>
      <c r="AB58" s="100"/>
      <c r="AC58" s="100">
        <v>6879.59</v>
      </c>
      <c r="AD58" s="212">
        <f t="shared" si="19"/>
        <v>-6879.59</v>
      </c>
      <c r="AE58" s="213">
        <v>-200000</v>
      </c>
      <c r="AF58" s="213">
        <f>AD58/7.75/0.9/9*12*100</f>
        <v>-131509.48626045402</v>
      </c>
      <c r="AG58" s="213"/>
      <c r="AH58" s="214"/>
      <c r="AI58" s="214"/>
      <c r="AJ58" s="215"/>
      <c r="AK58" s="215"/>
      <c r="AL58" s="216"/>
      <c r="AM58" s="69">
        <f t="shared" si="11"/>
        <v>-6879.59</v>
      </c>
      <c r="AN58" s="69"/>
      <c r="AO58" s="69"/>
      <c r="AP58" s="69"/>
      <c r="AQ58" s="104">
        <f t="shared" si="12"/>
        <v>-6879.59</v>
      </c>
      <c r="AR58" s="104"/>
      <c r="AS58" s="69">
        <f t="shared" si="13"/>
        <v>-6879.59</v>
      </c>
      <c r="AT58" s="104">
        <f t="shared" si="14"/>
        <v>0</v>
      </c>
      <c r="AU58" s="214">
        <f>AD58/7.75/0.9/8*12*100</f>
        <v>-147948.17204301077</v>
      </c>
      <c r="AV58" s="106"/>
      <c r="AW58" s="106"/>
      <c r="AX58" s="107"/>
      <c r="AY58" s="107"/>
      <c r="AZ58" s="107"/>
      <c r="BA58" s="107"/>
      <c r="BB58" s="108">
        <f t="shared" si="15"/>
        <v>-147948.17204301077</v>
      </c>
      <c r="BC58" s="108">
        <f t="shared" si="32"/>
        <v>-169083.62519201229</v>
      </c>
      <c r="BD58" s="109"/>
      <c r="BE58" s="109"/>
      <c r="BF58" s="109"/>
      <c r="BG58" s="110">
        <f t="shared" si="33"/>
        <v>-197264.22939068099</v>
      </c>
      <c r="BH58" s="110"/>
      <c r="BI58" s="110"/>
      <c r="BJ58" s="123">
        <f t="shared" si="17"/>
        <v>-305759.55555555556</v>
      </c>
      <c r="BK58" s="116"/>
      <c r="BL58" s="79"/>
      <c r="BM58" s="111"/>
    </row>
    <row r="59" spans="1:66" s="81" customFormat="1" ht="25.5">
      <c r="A59" s="56">
        <f>A57+1</f>
        <v>40</v>
      </c>
      <c r="B59" s="57" t="s">
        <v>147</v>
      </c>
      <c r="C59" s="58" t="s">
        <v>148</v>
      </c>
      <c r="D59" s="57" t="s">
        <v>64</v>
      </c>
      <c r="E59" s="57" t="s">
        <v>65</v>
      </c>
      <c r="F59" s="57"/>
      <c r="G59" s="57"/>
      <c r="H59" s="60">
        <v>43525</v>
      </c>
      <c r="I59" s="61" t="s">
        <v>149</v>
      </c>
      <c r="J59" s="62">
        <v>2000000</v>
      </c>
      <c r="K59" s="63">
        <v>7.7499999999999999E-2</v>
      </c>
      <c r="L59" s="63">
        <v>7.4999999999999997E-2</v>
      </c>
      <c r="M59" s="64">
        <v>0.9</v>
      </c>
      <c r="N59" s="65">
        <v>9</v>
      </c>
      <c r="O59" s="65">
        <v>3</v>
      </c>
      <c r="P59" s="64">
        <v>12</v>
      </c>
      <c r="Q59" s="65">
        <f t="shared" ref="Q59:Q74" si="34">J59*K59*M59*N59/P59</f>
        <v>104625</v>
      </c>
      <c r="R59" s="65">
        <f t="shared" si="8"/>
        <v>1213312.131796638</v>
      </c>
      <c r="S59" s="65">
        <f t="shared" ref="S59:S74" si="35">R59*K59*M59*N59/P59</f>
        <v>63471.390894611628</v>
      </c>
      <c r="T59" s="65">
        <f t="shared" si="9"/>
        <v>41153.609105388372</v>
      </c>
      <c r="U59" s="66">
        <v>0.606656065898319</v>
      </c>
      <c r="V59" s="65"/>
      <c r="W59" s="64"/>
      <c r="X59" s="65">
        <f t="shared" si="3"/>
        <v>1213312.131796638</v>
      </c>
      <c r="Y59" s="65">
        <f t="shared" si="3"/>
        <v>63471.390894611628</v>
      </c>
      <c r="Z59" s="67">
        <f t="shared" si="10"/>
        <v>1213312.131796638</v>
      </c>
      <c r="AA59" s="67">
        <f t="shared" si="10"/>
        <v>63471.390894611628</v>
      </c>
      <c r="AB59" s="68"/>
      <c r="AC59" s="68"/>
      <c r="AD59" s="67">
        <f t="shared" si="19"/>
        <v>63471.390894611628</v>
      </c>
      <c r="AE59" s="68">
        <v>1091980.9186169743</v>
      </c>
      <c r="AF59" s="68">
        <f t="shared" ref="AF59:AF74" si="36">AD59/K59/M59/9*P59</f>
        <v>1213312.131796638</v>
      </c>
      <c r="AG59" s="68"/>
      <c r="AH59" s="69"/>
      <c r="AI59" s="69"/>
      <c r="AJ59" s="70"/>
      <c r="AK59" s="70"/>
      <c r="AL59" s="71"/>
      <c r="AM59" s="69">
        <f t="shared" si="11"/>
        <v>63471.390894611628</v>
      </c>
      <c r="AN59" s="69"/>
      <c r="AO59" s="69"/>
      <c r="AP59" s="69"/>
      <c r="AQ59" s="69">
        <f t="shared" si="12"/>
        <v>63471.390894611628</v>
      </c>
      <c r="AR59" s="69"/>
      <c r="AS59" s="69">
        <f t="shared" si="13"/>
        <v>63471.390894611628</v>
      </c>
      <c r="AT59" s="69">
        <f t="shared" si="14"/>
        <v>45000</v>
      </c>
      <c r="AU59" s="72">
        <f t="shared" ref="AU59:AU65" si="37">AD59/K59/M59/8*P59</f>
        <v>1364976.1482712177</v>
      </c>
      <c r="AV59" s="72"/>
      <c r="AW59" s="72"/>
      <c r="AX59" s="73"/>
      <c r="AY59" s="74"/>
      <c r="AZ59" s="74"/>
      <c r="BA59" s="75"/>
      <c r="BB59" s="76">
        <f t="shared" si="15"/>
        <v>1364976.1482712177</v>
      </c>
      <c r="BC59" s="76">
        <f t="shared" si="32"/>
        <v>1559972.7408813918</v>
      </c>
      <c r="BD59" s="77"/>
      <c r="BE59" s="77"/>
      <c r="BF59" s="77"/>
      <c r="BG59" s="78">
        <f t="shared" si="33"/>
        <v>1819968.197694957</v>
      </c>
      <c r="BH59" s="78"/>
      <c r="BI59" s="78">
        <f t="shared" si="16"/>
        <v>18471.390894611628</v>
      </c>
      <c r="BJ59" s="79">
        <f t="shared" si="17"/>
        <v>2820950.7064271835</v>
      </c>
      <c r="BK59" s="79">
        <v>2000000</v>
      </c>
      <c r="BL59" s="79">
        <v>2000000</v>
      </c>
      <c r="BM59" s="80"/>
      <c r="BN59" s="81" t="s">
        <v>64</v>
      </c>
    </row>
    <row r="60" spans="1:66" s="81" customFormat="1" ht="25.5">
      <c r="A60" s="56">
        <f t="shared" si="18"/>
        <v>41</v>
      </c>
      <c r="B60" s="57" t="s">
        <v>150</v>
      </c>
      <c r="C60" s="58" t="s">
        <v>151</v>
      </c>
      <c r="D60" s="57" t="s">
        <v>64</v>
      </c>
      <c r="E60" s="57" t="s">
        <v>65</v>
      </c>
      <c r="F60" s="57"/>
      <c r="G60" s="57"/>
      <c r="H60" s="60">
        <v>43497</v>
      </c>
      <c r="I60" s="61" t="s">
        <v>94</v>
      </c>
      <c r="J60" s="62">
        <v>10000000</v>
      </c>
      <c r="K60" s="63">
        <v>7.7499999999999999E-2</v>
      </c>
      <c r="L60" s="63">
        <v>7.4999999999999997E-2</v>
      </c>
      <c r="M60" s="64">
        <v>0.9</v>
      </c>
      <c r="N60" s="65">
        <v>10</v>
      </c>
      <c r="O60" s="65">
        <v>4</v>
      </c>
      <c r="P60" s="64">
        <v>12</v>
      </c>
      <c r="Q60" s="65">
        <f t="shared" si="34"/>
        <v>581250</v>
      </c>
      <c r="R60" s="65">
        <f t="shared" si="8"/>
        <v>6066560.6589831896</v>
      </c>
      <c r="S60" s="65">
        <f t="shared" si="35"/>
        <v>352618.83830339788</v>
      </c>
      <c r="T60" s="65">
        <f t="shared" si="9"/>
        <v>228631.16169660212</v>
      </c>
      <c r="U60" s="66">
        <v>0.606656065898319</v>
      </c>
      <c r="V60" s="65"/>
      <c r="W60" s="64"/>
      <c r="X60" s="65">
        <f t="shared" si="3"/>
        <v>6066560.6589831896</v>
      </c>
      <c r="Y60" s="65">
        <f t="shared" si="3"/>
        <v>352618.83830339788</v>
      </c>
      <c r="Z60" s="67">
        <f t="shared" si="10"/>
        <v>6066560.6589831896</v>
      </c>
      <c r="AA60" s="67">
        <f t="shared" si="10"/>
        <v>352618.83830339788</v>
      </c>
      <c r="AB60" s="68"/>
      <c r="AC60" s="68"/>
      <c r="AD60" s="67">
        <f t="shared" si="19"/>
        <v>352618.83830339788</v>
      </c>
      <c r="AE60" s="68">
        <v>6066560.6589831896</v>
      </c>
      <c r="AF60" s="68">
        <f t="shared" si="36"/>
        <v>6740622.9544257652</v>
      </c>
      <c r="AG60" s="68"/>
      <c r="AH60" s="69"/>
      <c r="AI60" s="69"/>
      <c r="AJ60" s="70"/>
      <c r="AK60" s="70"/>
      <c r="AL60" s="71"/>
      <c r="AM60" s="69">
        <f t="shared" si="11"/>
        <v>352618.83830339788</v>
      </c>
      <c r="AN60" s="69"/>
      <c r="AO60" s="69"/>
      <c r="AP60" s="69"/>
      <c r="AQ60" s="69">
        <f t="shared" si="12"/>
        <v>352618.83830339788</v>
      </c>
      <c r="AR60" s="69"/>
      <c r="AS60" s="69">
        <f t="shared" si="13"/>
        <v>352618.83830339788</v>
      </c>
      <c r="AT60" s="69">
        <f t="shared" si="14"/>
        <v>225000</v>
      </c>
      <c r="AU60" s="72">
        <f t="shared" si="37"/>
        <v>7583200.8237289861</v>
      </c>
      <c r="AV60" s="72"/>
      <c r="AW60" s="72"/>
      <c r="AX60" s="73"/>
      <c r="AY60" s="74"/>
      <c r="AZ60" s="74"/>
      <c r="BA60" s="75"/>
      <c r="BB60" s="76">
        <f t="shared" si="15"/>
        <v>7583200.8237289861</v>
      </c>
      <c r="BC60" s="76">
        <f t="shared" si="32"/>
        <v>8666515.2271188423</v>
      </c>
      <c r="BD60" s="77"/>
      <c r="BE60" s="77"/>
      <c r="BF60" s="77"/>
      <c r="BG60" s="78">
        <f t="shared" si="33"/>
        <v>10110934.431638649</v>
      </c>
      <c r="BH60" s="78"/>
      <c r="BI60" s="78">
        <f t="shared" si="16"/>
        <v>127618.83830339788</v>
      </c>
      <c r="BJ60" s="79">
        <f t="shared" si="17"/>
        <v>15671948.369039906</v>
      </c>
      <c r="BK60" s="79">
        <v>10000000</v>
      </c>
      <c r="BL60" s="79">
        <v>10000000</v>
      </c>
      <c r="BM60" s="80"/>
      <c r="BN60" s="81" t="s">
        <v>64</v>
      </c>
    </row>
    <row r="61" spans="1:66" s="81" customFormat="1" ht="25.5">
      <c r="A61" s="56">
        <f t="shared" si="18"/>
        <v>42</v>
      </c>
      <c r="B61" s="57" t="s">
        <v>152</v>
      </c>
      <c r="C61" s="58" t="s">
        <v>153</v>
      </c>
      <c r="D61" s="57" t="s">
        <v>64</v>
      </c>
      <c r="E61" s="57" t="s">
        <v>65</v>
      </c>
      <c r="F61" s="57"/>
      <c r="G61" s="57"/>
      <c r="H61" s="60">
        <v>43525</v>
      </c>
      <c r="I61" s="61" t="s">
        <v>66</v>
      </c>
      <c r="J61" s="62">
        <v>2000000</v>
      </c>
      <c r="K61" s="63">
        <v>7.7499999999999999E-2</v>
      </c>
      <c r="L61" s="63">
        <v>7.4999999999999997E-2</v>
      </c>
      <c r="M61" s="64">
        <v>0.9</v>
      </c>
      <c r="N61" s="65">
        <v>9</v>
      </c>
      <c r="O61" s="65">
        <v>4</v>
      </c>
      <c r="P61" s="64">
        <v>12</v>
      </c>
      <c r="Q61" s="65">
        <f t="shared" si="34"/>
        <v>104625</v>
      </c>
      <c r="R61" s="65">
        <f t="shared" si="8"/>
        <v>1213312.131796638</v>
      </c>
      <c r="S61" s="65">
        <f t="shared" si="35"/>
        <v>63471.390894611628</v>
      </c>
      <c r="T61" s="65">
        <f t="shared" si="9"/>
        <v>41153.609105388372</v>
      </c>
      <c r="U61" s="66">
        <v>0.606656065898319</v>
      </c>
      <c r="V61" s="65"/>
      <c r="W61" s="64"/>
      <c r="X61" s="65">
        <f t="shared" si="3"/>
        <v>1213312.131796638</v>
      </c>
      <c r="Y61" s="65">
        <f t="shared" si="3"/>
        <v>63471.390894611628</v>
      </c>
      <c r="Z61" s="67">
        <f t="shared" si="10"/>
        <v>1213312.131796638</v>
      </c>
      <c r="AA61" s="67">
        <f t="shared" si="10"/>
        <v>63471.390894611628</v>
      </c>
      <c r="AB61" s="68"/>
      <c r="AC61" s="68"/>
      <c r="AD61" s="67">
        <f t="shared" si="19"/>
        <v>63471.390894611628</v>
      </c>
      <c r="AE61" s="68">
        <v>1091980.9186169743</v>
      </c>
      <c r="AF61" s="68">
        <f t="shared" si="36"/>
        <v>1213312.131796638</v>
      </c>
      <c r="AG61" s="68"/>
      <c r="AH61" s="69"/>
      <c r="AI61" s="69"/>
      <c r="AJ61" s="70"/>
      <c r="AK61" s="70"/>
      <c r="AL61" s="71"/>
      <c r="AM61" s="69">
        <f t="shared" si="11"/>
        <v>63471.390894611628</v>
      </c>
      <c r="AN61" s="69"/>
      <c r="AO61" s="69"/>
      <c r="AP61" s="69"/>
      <c r="AQ61" s="69">
        <f t="shared" si="12"/>
        <v>63471.390894611628</v>
      </c>
      <c r="AR61" s="69"/>
      <c r="AS61" s="69">
        <f t="shared" si="13"/>
        <v>63471.390894611628</v>
      </c>
      <c r="AT61" s="69">
        <f t="shared" si="14"/>
        <v>45000</v>
      </c>
      <c r="AU61" s="72">
        <f t="shared" si="37"/>
        <v>1364976.1482712177</v>
      </c>
      <c r="AV61" s="72"/>
      <c r="AW61" s="72"/>
      <c r="AX61" s="73"/>
      <c r="AY61" s="74"/>
      <c r="AZ61" s="74"/>
      <c r="BA61" s="75"/>
      <c r="BB61" s="76">
        <f t="shared" si="15"/>
        <v>1364976.1482712177</v>
      </c>
      <c r="BC61" s="76">
        <f t="shared" si="32"/>
        <v>1559972.7408813918</v>
      </c>
      <c r="BD61" s="77"/>
      <c r="BE61" s="77"/>
      <c r="BF61" s="77"/>
      <c r="BG61" s="78">
        <f t="shared" si="33"/>
        <v>1819968.197694957</v>
      </c>
      <c r="BH61" s="78"/>
      <c r="BI61" s="78">
        <f t="shared" si="16"/>
        <v>18471.390894611628</v>
      </c>
      <c r="BJ61" s="79">
        <f t="shared" si="17"/>
        <v>2820950.7064271835</v>
      </c>
      <c r="BK61" s="79">
        <v>2000000</v>
      </c>
      <c r="BL61" s="79">
        <v>2000000</v>
      </c>
      <c r="BM61" s="80"/>
      <c r="BN61" s="81" t="s">
        <v>64</v>
      </c>
    </row>
    <row r="62" spans="1:66" s="112" customFormat="1" ht="25.5">
      <c r="A62" s="84">
        <f t="shared" si="18"/>
        <v>43</v>
      </c>
      <c r="B62" s="85" t="s">
        <v>154</v>
      </c>
      <c r="C62" s="86" t="s">
        <v>155</v>
      </c>
      <c r="D62" s="85" t="s">
        <v>120</v>
      </c>
      <c r="E62" s="87" t="s">
        <v>98</v>
      </c>
      <c r="F62" s="89"/>
      <c r="G62" s="89"/>
      <c r="H62" s="90">
        <v>43497</v>
      </c>
      <c r="I62" s="90">
        <v>43497</v>
      </c>
      <c r="J62" s="91">
        <v>10000000</v>
      </c>
      <c r="K62" s="92">
        <v>7.7499999999999999E-2</v>
      </c>
      <c r="L62" s="63">
        <v>7.4999999999999997E-2</v>
      </c>
      <c r="M62" s="93">
        <v>0.9</v>
      </c>
      <c r="N62" s="94">
        <v>10</v>
      </c>
      <c r="O62" s="94"/>
      <c r="P62" s="93">
        <v>12</v>
      </c>
      <c r="Q62" s="95">
        <f t="shared" si="34"/>
        <v>581250</v>
      </c>
      <c r="R62" s="94">
        <f t="shared" si="8"/>
        <v>6066560.6589831896</v>
      </c>
      <c r="S62" s="95">
        <f t="shared" si="35"/>
        <v>352618.83830339788</v>
      </c>
      <c r="T62" s="95">
        <f t="shared" si="9"/>
        <v>228631.16169660212</v>
      </c>
      <c r="U62" s="96">
        <v>0.606656065898319</v>
      </c>
      <c r="V62" s="94"/>
      <c r="W62" s="97"/>
      <c r="X62" s="95">
        <f t="shared" si="3"/>
        <v>6066560.6589831896</v>
      </c>
      <c r="Y62" s="95">
        <f t="shared" si="3"/>
        <v>352618.83830339788</v>
      </c>
      <c r="Z62" s="98">
        <f t="shared" si="10"/>
        <v>6066560.6589831896</v>
      </c>
      <c r="AA62" s="98">
        <f t="shared" si="10"/>
        <v>352618.83830339788</v>
      </c>
      <c r="AB62" s="100">
        <f>1332893.84-AB63-AB64-AB65-AB66</f>
        <v>352618.84000000008</v>
      </c>
      <c r="AC62" s="100"/>
      <c r="AD62" s="98">
        <f t="shared" si="19"/>
        <v>-1.6966022085398436E-3</v>
      </c>
      <c r="AE62" s="100">
        <v>8366083.6244075373</v>
      </c>
      <c r="AF62" s="100">
        <f t="shared" si="36"/>
        <v>-3.2432061334094979E-2</v>
      </c>
      <c r="AG62" s="100"/>
      <c r="AH62" s="101"/>
      <c r="AI62" s="101"/>
      <c r="AJ62" s="101"/>
      <c r="AK62" s="101"/>
      <c r="AL62" s="101"/>
      <c r="AM62" s="104">
        <f t="shared" si="11"/>
        <v>-1.6966022085398436E-3</v>
      </c>
      <c r="AN62" s="104"/>
      <c r="AO62" s="104"/>
      <c r="AP62" s="104"/>
      <c r="AQ62" s="104">
        <f t="shared" si="12"/>
        <v>-1.6966022085398436E-3</v>
      </c>
      <c r="AR62" s="104"/>
      <c r="AS62" s="104">
        <f t="shared" si="13"/>
        <v>-1.6966022085398436E-3</v>
      </c>
      <c r="AT62" s="104">
        <f t="shared" si="14"/>
        <v>0</v>
      </c>
      <c r="AU62" s="105">
        <f t="shared" si="37"/>
        <v>-3.6486069000856852E-2</v>
      </c>
      <c r="AV62" s="106"/>
      <c r="AW62" s="106"/>
      <c r="AX62" s="107"/>
      <c r="AY62" s="107"/>
      <c r="AZ62" s="107"/>
      <c r="BA62" s="107"/>
      <c r="BB62" s="108">
        <f t="shared" si="15"/>
        <v>-3.6486069000856852E-2</v>
      </c>
      <c r="BC62" s="108">
        <f t="shared" si="32"/>
        <v>-4.1698364572407831E-2</v>
      </c>
      <c r="BD62" s="109"/>
      <c r="BE62" s="109"/>
      <c r="BF62" s="109"/>
      <c r="BG62" s="110">
        <f t="shared" si="33"/>
        <v>-4.8648092001142465E-2</v>
      </c>
      <c r="BH62" s="110"/>
      <c r="BI62" s="110">
        <f t="shared" si="16"/>
        <v>-1.6966022085398436E-3</v>
      </c>
      <c r="BJ62" s="116">
        <f t="shared" si="17"/>
        <v>-7.5404542601770819E-2</v>
      </c>
      <c r="BK62" s="116"/>
      <c r="BL62" s="79"/>
      <c r="BM62" s="111"/>
    </row>
    <row r="63" spans="1:66" s="112" customFormat="1" ht="25.5">
      <c r="A63" s="84">
        <f t="shared" si="18"/>
        <v>44</v>
      </c>
      <c r="B63" s="85" t="s">
        <v>154</v>
      </c>
      <c r="C63" s="86" t="s">
        <v>155</v>
      </c>
      <c r="D63" s="85" t="s">
        <v>120</v>
      </c>
      <c r="E63" s="87" t="s">
        <v>98</v>
      </c>
      <c r="F63" s="89"/>
      <c r="G63" s="89"/>
      <c r="H63" s="90">
        <v>43525</v>
      </c>
      <c r="I63" s="90">
        <v>43525</v>
      </c>
      <c r="J63" s="91">
        <v>10000000</v>
      </c>
      <c r="K63" s="92">
        <v>7.7499999999999999E-2</v>
      </c>
      <c r="L63" s="63">
        <v>7.4999999999999997E-2</v>
      </c>
      <c r="M63" s="93">
        <v>0.9</v>
      </c>
      <c r="N63" s="94">
        <v>9</v>
      </c>
      <c r="O63" s="94"/>
      <c r="P63" s="93">
        <v>12</v>
      </c>
      <c r="Q63" s="95">
        <f t="shared" si="34"/>
        <v>523125</v>
      </c>
      <c r="R63" s="94">
        <f t="shared" si="8"/>
        <v>6066560.6589831896</v>
      </c>
      <c r="S63" s="95">
        <f t="shared" si="35"/>
        <v>317356.95447305811</v>
      </c>
      <c r="T63" s="95">
        <f t="shared" si="9"/>
        <v>205768.04552694189</v>
      </c>
      <c r="U63" s="96">
        <v>0.606656065898319</v>
      </c>
      <c r="V63" s="94"/>
      <c r="W63" s="97"/>
      <c r="X63" s="95">
        <f t="shared" si="3"/>
        <v>6066560.6589831896</v>
      </c>
      <c r="Y63" s="95">
        <f t="shared" si="3"/>
        <v>317356.95447305811</v>
      </c>
      <c r="Z63" s="98">
        <f t="shared" si="10"/>
        <v>6066560.6589831896</v>
      </c>
      <c r="AA63" s="98">
        <f t="shared" si="10"/>
        <v>317356.95447305811</v>
      </c>
      <c r="AB63" s="115">
        <v>317356.95</v>
      </c>
      <c r="AC63" s="115"/>
      <c r="AD63" s="98">
        <f t="shared" si="19"/>
        <v>4.4730580993928015E-3</v>
      </c>
      <c r="AE63" s="99">
        <v>0</v>
      </c>
      <c r="AF63" s="100">
        <f t="shared" si="36"/>
        <v>8.5506486965692741E-2</v>
      </c>
      <c r="AG63" s="100"/>
      <c r="AH63" s="101"/>
      <c r="AI63" s="101"/>
      <c r="AJ63" s="102"/>
      <c r="AK63" s="102"/>
      <c r="AL63" s="103"/>
      <c r="AM63" s="69">
        <f t="shared" si="11"/>
        <v>4.4730580993928015E-3</v>
      </c>
      <c r="AN63" s="69"/>
      <c r="AO63" s="69"/>
      <c r="AP63" s="69"/>
      <c r="AQ63" s="104">
        <f t="shared" si="12"/>
        <v>4.4730580993928015E-3</v>
      </c>
      <c r="AR63" s="104"/>
      <c r="AS63" s="69">
        <f t="shared" si="13"/>
        <v>4.4730580993928015E-3</v>
      </c>
      <c r="AT63" s="104">
        <f t="shared" si="14"/>
        <v>0</v>
      </c>
      <c r="AU63" s="181">
        <f t="shared" si="37"/>
        <v>9.6194797836404333E-2</v>
      </c>
      <c r="AV63" s="106"/>
      <c r="AW63" s="106"/>
      <c r="AX63" s="107"/>
      <c r="AY63" s="107"/>
      <c r="AZ63" s="107"/>
      <c r="BA63" s="107"/>
      <c r="BB63" s="108">
        <f t="shared" si="15"/>
        <v>9.6194797836404333E-2</v>
      </c>
      <c r="BC63" s="108">
        <f t="shared" si="32"/>
        <v>0.10993691181303353</v>
      </c>
      <c r="BD63" s="109"/>
      <c r="BE63" s="109"/>
      <c r="BF63" s="109"/>
      <c r="BG63" s="110">
        <f t="shared" si="33"/>
        <v>0.12825973044853911</v>
      </c>
      <c r="BH63" s="110"/>
      <c r="BI63" s="110">
        <f t="shared" si="16"/>
        <v>4.4730580993928015E-3</v>
      </c>
      <c r="BJ63" s="116">
        <f t="shared" si="17"/>
        <v>0.19880258219523564</v>
      </c>
      <c r="BK63" s="116"/>
      <c r="BL63" s="79"/>
      <c r="BM63" s="111"/>
    </row>
    <row r="64" spans="1:66" s="112" customFormat="1" ht="25.5">
      <c r="A64" s="84">
        <f t="shared" si="18"/>
        <v>45</v>
      </c>
      <c r="B64" s="85" t="s">
        <v>156</v>
      </c>
      <c r="C64" s="86" t="s">
        <v>155</v>
      </c>
      <c r="D64" s="85" t="s">
        <v>120</v>
      </c>
      <c r="E64" s="87" t="s">
        <v>98</v>
      </c>
      <c r="F64" s="89"/>
      <c r="G64" s="89"/>
      <c r="H64" s="90">
        <v>43556</v>
      </c>
      <c r="I64" s="90">
        <v>43556</v>
      </c>
      <c r="J64" s="91">
        <v>10000000</v>
      </c>
      <c r="K64" s="92">
        <v>7.7499999999999999E-2</v>
      </c>
      <c r="L64" s="63">
        <v>7.4999999999999997E-2</v>
      </c>
      <c r="M64" s="93">
        <v>0.9</v>
      </c>
      <c r="N64" s="94">
        <v>8</v>
      </c>
      <c r="O64" s="94"/>
      <c r="P64" s="93">
        <v>12</v>
      </c>
      <c r="Q64" s="95">
        <f t="shared" si="34"/>
        <v>465000</v>
      </c>
      <c r="R64" s="94">
        <f t="shared" si="8"/>
        <v>6066560.6589831896</v>
      </c>
      <c r="S64" s="95">
        <f t="shared" si="35"/>
        <v>282095.07064271829</v>
      </c>
      <c r="T64" s="95">
        <f t="shared" si="9"/>
        <v>182904.92935728171</v>
      </c>
      <c r="U64" s="96">
        <v>0.606656065898319</v>
      </c>
      <c r="V64" s="94"/>
      <c r="W64" s="97"/>
      <c r="X64" s="95">
        <f t="shared" si="3"/>
        <v>6066560.6589831896</v>
      </c>
      <c r="Y64" s="95">
        <f t="shared" si="3"/>
        <v>282095.07064271829</v>
      </c>
      <c r="Z64" s="98">
        <f t="shared" si="10"/>
        <v>6066560.6589831896</v>
      </c>
      <c r="AA64" s="98">
        <f t="shared" si="10"/>
        <v>282095.07064271829</v>
      </c>
      <c r="AB64" s="115">
        <v>282095.07</v>
      </c>
      <c r="AC64" s="115"/>
      <c r="AD64" s="98">
        <f t="shared" si="19"/>
        <v>6.4271828159689903E-4</v>
      </c>
      <c r="AE64" s="99">
        <v>0</v>
      </c>
      <c r="AF64" s="100">
        <f t="shared" si="36"/>
        <v>1.2286132025747173E-2</v>
      </c>
      <c r="AG64" s="100"/>
      <c r="AH64" s="101"/>
      <c r="AI64" s="101"/>
      <c r="AJ64" s="102"/>
      <c r="AK64" s="102"/>
      <c r="AL64" s="103"/>
      <c r="AM64" s="69">
        <f t="shared" si="11"/>
        <v>6.4271828159689903E-4</v>
      </c>
      <c r="AN64" s="69"/>
      <c r="AO64" s="69"/>
      <c r="AP64" s="69"/>
      <c r="AQ64" s="104">
        <f t="shared" si="12"/>
        <v>6.4271828159689903E-4</v>
      </c>
      <c r="AR64" s="104"/>
      <c r="AS64" s="69">
        <f t="shared" si="13"/>
        <v>6.4271828159689903E-4</v>
      </c>
      <c r="AT64" s="104">
        <f t="shared" si="14"/>
        <v>0</v>
      </c>
      <c r="AU64" s="181">
        <f t="shared" si="37"/>
        <v>1.382189852896557E-2</v>
      </c>
      <c r="AV64" s="106"/>
      <c r="AW64" s="106"/>
      <c r="AX64" s="107"/>
      <c r="AY64" s="107"/>
      <c r="AZ64" s="107"/>
      <c r="BA64" s="107"/>
      <c r="BB64" s="108">
        <f t="shared" si="15"/>
        <v>1.382189852896557E-2</v>
      </c>
      <c r="BC64" s="108">
        <f t="shared" si="32"/>
        <v>1.5796455461674935E-2</v>
      </c>
      <c r="BD64" s="109"/>
      <c r="BE64" s="109"/>
      <c r="BF64" s="109"/>
      <c r="BG64" s="110">
        <f t="shared" si="33"/>
        <v>1.842919803862076E-2</v>
      </c>
      <c r="BH64" s="110"/>
      <c r="BI64" s="110">
        <f t="shared" si="16"/>
        <v>6.4271828159689903E-4</v>
      </c>
      <c r="BJ64" s="116">
        <f t="shared" si="17"/>
        <v>2.856525695986218E-2</v>
      </c>
      <c r="BK64" s="116"/>
      <c r="BL64" s="79"/>
      <c r="BM64" s="111"/>
    </row>
    <row r="65" spans="1:66" s="112" customFormat="1" ht="25.5">
      <c r="A65" s="84">
        <f t="shared" si="18"/>
        <v>46</v>
      </c>
      <c r="B65" s="85" t="s">
        <v>156</v>
      </c>
      <c r="C65" s="86" t="s">
        <v>155</v>
      </c>
      <c r="D65" s="85" t="s">
        <v>120</v>
      </c>
      <c r="E65" s="87" t="s">
        <v>98</v>
      </c>
      <c r="F65" s="89"/>
      <c r="G65" s="89"/>
      <c r="H65" s="90">
        <v>43586</v>
      </c>
      <c r="I65" s="90">
        <v>43586</v>
      </c>
      <c r="J65" s="91">
        <v>10000000</v>
      </c>
      <c r="K65" s="92">
        <v>7.7499999999999999E-2</v>
      </c>
      <c r="L65" s="63">
        <v>7.4999999999999997E-2</v>
      </c>
      <c r="M65" s="93">
        <v>0.9</v>
      </c>
      <c r="N65" s="94">
        <v>7</v>
      </c>
      <c r="O65" s="94"/>
      <c r="P65" s="93">
        <v>12</v>
      </c>
      <c r="Q65" s="95">
        <f t="shared" si="34"/>
        <v>406875</v>
      </c>
      <c r="R65" s="94">
        <f t="shared" si="8"/>
        <v>6066560.6589831896</v>
      </c>
      <c r="S65" s="95">
        <f t="shared" si="35"/>
        <v>246833.1868123785</v>
      </c>
      <c r="T65" s="95">
        <f t="shared" si="9"/>
        <v>160041.8131876215</v>
      </c>
      <c r="U65" s="96">
        <v>0.606656065898319</v>
      </c>
      <c r="V65" s="94"/>
      <c r="W65" s="97"/>
      <c r="X65" s="95">
        <f t="shared" si="3"/>
        <v>6066560.6589831896</v>
      </c>
      <c r="Y65" s="95">
        <f t="shared" si="3"/>
        <v>246833.1868123785</v>
      </c>
      <c r="Z65" s="98">
        <f t="shared" si="10"/>
        <v>6066560.6589831896</v>
      </c>
      <c r="AA65" s="98">
        <f t="shared" si="10"/>
        <v>246833.1868123785</v>
      </c>
      <c r="AB65" s="115">
        <v>246833.19</v>
      </c>
      <c r="AC65" s="115"/>
      <c r="AD65" s="98">
        <f t="shared" si="19"/>
        <v>-3.187621507095173E-3</v>
      </c>
      <c r="AE65" s="99">
        <v>0</v>
      </c>
      <c r="AF65" s="100">
        <f t="shared" si="36"/>
        <v>-6.0934222357852771E-2</v>
      </c>
      <c r="AG65" s="100"/>
      <c r="AH65" s="101"/>
      <c r="AI65" s="101"/>
      <c r="AJ65" s="102"/>
      <c r="AK65" s="102"/>
      <c r="AL65" s="217"/>
      <c r="AM65" s="69">
        <f t="shared" si="11"/>
        <v>-3.187621507095173E-3</v>
      </c>
      <c r="AN65" s="69"/>
      <c r="AO65" s="69"/>
      <c r="AP65" s="69"/>
      <c r="AQ65" s="104">
        <f t="shared" si="12"/>
        <v>-3.187621507095173E-3</v>
      </c>
      <c r="AR65" s="104"/>
      <c r="AS65" s="69">
        <f t="shared" si="13"/>
        <v>-3.187621507095173E-3</v>
      </c>
      <c r="AT65" s="104">
        <f t="shared" si="14"/>
        <v>0</v>
      </c>
      <c r="AU65" s="105">
        <f t="shared" si="37"/>
        <v>-6.8551000152584363E-2</v>
      </c>
      <c r="AV65" s="106"/>
      <c r="AW65" s="106"/>
      <c r="AX65" s="107"/>
      <c r="AY65" s="107"/>
      <c r="AZ65" s="107"/>
      <c r="BA65" s="107"/>
      <c r="BB65" s="108">
        <f t="shared" si="15"/>
        <v>-6.8551000152584363E-2</v>
      </c>
      <c r="BC65" s="108">
        <f t="shared" si="32"/>
        <v>-7.8344000174382131E-2</v>
      </c>
      <c r="BD65" s="109"/>
      <c r="BE65" s="109"/>
      <c r="BF65" s="109"/>
      <c r="BG65" s="110">
        <f t="shared" si="33"/>
        <v>-9.140133353677915E-2</v>
      </c>
      <c r="BH65" s="110"/>
      <c r="BI65" s="110">
        <f t="shared" si="16"/>
        <v>-3.187621507095173E-3</v>
      </c>
      <c r="BJ65" s="116">
        <f t="shared" si="17"/>
        <v>-0.14167206698200768</v>
      </c>
      <c r="BK65" s="116"/>
      <c r="BL65" s="79"/>
      <c r="BM65" s="111"/>
    </row>
    <row r="66" spans="1:66" ht="25.5">
      <c r="A66" s="218">
        <f t="shared" si="18"/>
        <v>47</v>
      </c>
      <c r="B66" s="219" t="s">
        <v>156</v>
      </c>
      <c r="C66" s="220" t="s">
        <v>155</v>
      </c>
      <c r="D66" s="219" t="s">
        <v>120</v>
      </c>
      <c r="E66" s="219" t="s">
        <v>98</v>
      </c>
      <c r="F66" s="219"/>
      <c r="G66" s="219"/>
      <c r="H66" s="221">
        <v>43617</v>
      </c>
      <c r="I66" s="221">
        <v>43617</v>
      </c>
      <c r="J66" s="222">
        <v>10000000</v>
      </c>
      <c r="K66" s="223">
        <v>7.7499999999999999E-2</v>
      </c>
      <c r="L66" s="63">
        <v>7.4999999999999997E-2</v>
      </c>
      <c r="M66" s="224">
        <v>0.9</v>
      </c>
      <c r="N66" s="225">
        <v>6</v>
      </c>
      <c r="O66" s="225"/>
      <c r="P66" s="224">
        <v>12</v>
      </c>
      <c r="Q66" s="225">
        <f t="shared" si="34"/>
        <v>348750</v>
      </c>
      <c r="R66" s="225">
        <f t="shared" si="8"/>
        <v>6066560.6589831896</v>
      </c>
      <c r="S66" s="225">
        <f t="shared" si="35"/>
        <v>211571.30298203873</v>
      </c>
      <c r="T66" s="225">
        <f t="shared" si="9"/>
        <v>137178.69701796127</v>
      </c>
      <c r="U66" s="226">
        <v>0.606656065898319</v>
      </c>
      <c r="V66" s="225"/>
      <c r="W66" s="224"/>
      <c r="X66" s="225">
        <f t="shared" si="3"/>
        <v>6066560.6589831896</v>
      </c>
      <c r="Y66" s="225">
        <f t="shared" si="3"/>
        <v>211571.30298203873</v>
      </c>
      <c r="Z66" s="227">
        <f t="shared" si="10"/>
        <v>6066560.6589831896</v>
      </c>
      <c r="AA66" s="227">
        <f t="shared" si="10"/>
        <v>211571.30298203873</v>
      </c>
      <c r="AB66" s="228">
        <f>211571.3-77581.51</f>
        <v>133989.78999999998</v>
      </c>
      <c r="AC66" s="228"/>
      <c r="AD66" s="227">
        <f t="shared" si="19"/>
        <v>77581.512982038752</v>
      </c>
      <c r="AE66" s="229">
        <v>0</v>
      </c>
      <c r="AF66" s="229">
        <f t="shared" si="36"/>
        <v>1483039.6746865236</v>
      </c>
      <c r="AG66" s="229"/>
      <c r="AH66" s="230"/>
      <c r="AI66" s="230"/>
      <c r="AJ66" s="230"/>
      <c r="AK66" s="230"/>
      <c r="AL66" s="231">
        <v>77581.509999999995</v>
      </c>
      <c r="AM66" s="230">
        <f t="shared" si="11"/>
        <v>2.9820387571817264E-3</v>
      </c>
      <c r="AN66" s="230"/>
      <c r="AO66" s="230"/>
      <c r="AP66" s="230"/>
      <c r="AQ66" s="104">
        <f t="shared" si="12"/>
        <v>2.9820387571817264E-3</v>
      </c>
      <c r="AR66" s="104"/>
      <c r="AS66" s="69">
        <f t="shared" si="13"/>
        <v>2.9820387571817264E-3</v>
      </c>
      <c r="AT66" s="104">
        <f t="shared" si="14"/>
        <v>0</v>
      </c>
      <c r="AU66" s="232">
        <f>AD66/K66/M66/7*P66</f>
        <v>1906765.2960255304</v>
      </c>
      <c r="AV66" s="232"/>
      <c r="AW66" s="232"/>
      <c r="AX66" s="233"/>
      <c r="AY66" s="233"/>
      <c r="AZ66" s="233"/>
      <c r="BA66" s="232">
        <f>AL66/K66/M66/6.28*12</f>
        <v>2125375.2482706658</v>
      </c>
      <c r="BB66" s="234">
        <f t="shared" si="15"/>
        <v>-218609.95224513533</v>
      </c>
      <c r="BC66" s="108">
        <f t="shared" si="32"/>
        <v>7.3291275138106945E-2</v>
      </c>
      <c r="BD66" s="183"/>
      <c r="BE66" s="183"/>
      <c r="BF66" s="183"/>
      <c r="BG66" s="110">
        <f t="shared" si="33"/>
        <v>8.5506487661124772E-2</v>
      </c>
      <c r="BH66" s="110"/>
      <c r="BI66" s="110">
        <f t="shared" si="16"/>
        <v>2.9820387571817264E-3</v>
      </c>
      <c r="BJ66" s="116">
        <f t="shared" si="17"/>
        <v>0.1325350558747434</v>
      </c>
      <c r="BK66" s="116"/>
      <c r="BL66" s="79"/>
      <c r="BM66" s="235"/>
    </row>
    <row r="67" spans="1:66" ht="25.5">
      <c r="A67" s="218">
        <f t="shared" si="18"/>
        <v>48</v>
      </c>
      <c r="B67" s="219" t="s">
        <v>156</v>
      </c>
      <c r="C67" s="220" t="s">
        <v>155</v>
      </c>
      <c r="D67" s="219" t="s">
        <v>120</v>
      </c>
      <c r="E67" s="219" t="s">
        <v>98</v>
      </c>
      <c r="F67" s="219"/>
      <c r="G67" s="219"/>
      <c r="H67" s="221">
        <v>43647</v>
      </c>
      <c r="I67" s="221">
        <v>43647</v>
      </c>
      <c r="J67" s="222">
        <v>10000000</v>
      </c>
      <c r="K67" s="223">
        <v>7.7499999999999999E-2</v>
      </c>
      <c r="L67" s="63">
        <v>7.4999999999999997E-2</v>
      </c>
      <c r="M67" s="224">
        <v>0.9</v>
      </c>
      <c r="N67" s="225">
        <v>5</v>
      </c>
      <c r="O67" s="225"/>
      <c r="P67" s="224">
        <v>12</v>
      </c>
      <c r="Q67" s="225">
        <f t="shared" si="34"/>
        <v>290625</v>
      </c>
      <c r="R67" s="225">
        <f t="shared" si="8"/>
        <v>6066560.6589831896</v>
      </c>
      <c r="S67" s="225">
        <f t="shared" si="35"/>
        <v>176309.41915169894</v>
      </c>
      <c r="T67" s="225">
        <f t="shared" si="9"/>
        <v>114315.58084830106</v>
      </c>
      <c r="U67" s="226">
        <v>0.606656065898319</v>
      </c>
      <c r="V67" s="225"/>
      <c r="W67" s="224"/>
      <c r="X67" s="225">
        <f t="shared" si="3"/>
        <v>6066560.6589831896</v>
      </c>
      <c r="Y67" s="225">
        <f t="shared" si="3"/>
        <v>176309.41915169894</v>
      </c>
      <c r="Z67" s="227">
        <f t="shared" si="10"/>
        <v>6066560.6589831896</v>
      </c>
      <c r="AA67" s="227">
        <f t="shared" si="10"/>
        <v>176309.41915169894</v>
      </c>
      <c r="AB67" s="228"/>
      <c r="AC67" s="228"/>
      <c r="AD67" s="227">
        <f t="shared" si="19"/>
        <v>176309.41915169894</v>
      </c>
      <c r="AE67" s="229">
        <v>0</v>
      </c>
      <c r="AF67" s="229">
        <f t="shared" si="36"/>
        <v>3370311.4772128826</v>
      </c>
      <c r="AG67" s="229"/>
      <c r="AH67" s="230"/>
      <c r="AI67" s="230"/>
      <c r="AJ67" s="230"/>
      <c r="AK67" s="230"/>
      <c r="AL67" s="231">
        <v>176309.42</v>
      </c>
      <c r="AM67" s="230">
        <f t="shared" si="11"/>
        <v>-8.4830107516609132E-4</v>
      </c>
      <c r="AN67" s="230"/>
      <c r="AO67" s="230"/>
      <c r="AP67" s="230"/>
      <c r="AQ67" s="104">
        <f t="shared" si="12"/>
        <v>-8.4830107516609132E-4</v>
      </c>
      <c r="AR67" s="104"/>
      <c r="AS67" s="69">
        <f t="shared" si="13"/>
        <v>-8.4830107516609132E-4</v>
      </c>
      <c r="AT67" s="104">
        <f t="shared" si="14"/>
        <v>0</v>
      </c>
      <c r="AU67" s="232">
        <f t="shared" ref="AU67:AU74" si="38">AD67/K67/M67/8*P67</f>
        <v>3791600.411864493</v>
      </c>
      <c r="AV67" s="232"/>
      <c r="AW67" s="232"/>
      <c r="AX67" s="233"/>
      <c r="AY67" s="233"/>
      <c r="AZ67" s="233"/>
      <c r="BA67" s="232">
        <f>AL67/K67/M67/6.28*12</f>
        <v>4830064.2421751935</v>
      </c>
      <c r="BB67" s="234">
        <f t="shared" si="15"/>
        <v>-1038463.8303107005</v>
      </c>
      <c r="BC67" s="108">
        <f t="shared" si="32"/>
        <v>-2.0849181570902396E-2</v>
      </c>
      <c r="BD67" s="183"/>
      <c r="BE67" s="183"/>
      <c r="BF67" s="183"/>
      <c r="BG67" s="110">
        <f t="shared" si="33"/>
        <v>-2.4324045166052796E-2</v>
      </c>
      <c r="BH67" s="110"/>
      <c r="BI67" s="110">
        <f t="shared" si="16"/>
        <v>-8.4830107516609132E-4</v>
      </c>
      <c r="BJ67" s="116">
        <f t="shared" si="17"/>
        <v>-3.7702270007381841E-2</v>
      </c>
      <c r="BK67" s="116"/>
      <c r="BL67" s="79"/>
      <c r="BM67" s="235"/>
    </row>
    <row r="68" spans="1:66" ht="25.5">
      <c r="A68" s="218">
        <f t="shared" si="18"/>
        <v>49</v>
      </c>
      <c r="B68" s="219" t="s">
        <v>156</v>
      </c>
      <c r="C68" s="220" t="s">
        <v>155</v>
      </c>
      <c r="D68" s="219" t="s">
        <v>120</v>
      </c>
      <c r="E68" s="219" t="s">
        <v>98</v>
      </c>
      <c r="F68" s="219"/>
      <c r="G68" s="219"/>
      <c r="H68" s="221">
        <v>43678</v>
      </c>
      <c r="I68" s="221">
        <v>43678</v>
      </c>
      <c r="J68" s="222">
        <v>10000000</v>
      </c>
      <c r="K68" s="223">
        <v>7.7499999999999999E-2</v>
      </c>
      <c r="L68" s="63">
        <v>7.4999999999999997E-2</v>
      </c>
      <c r="M68" s="224">
        <v>0.9</v>
      </c>
      <c r="N68" s="225">
        <v>4</v>
      </c>
      <c r="O68" s="225"/>
      <c r="P68" s="224">
        <v>12</v>
      </c>
      <c r="Q68" s="225">
        <f t="shared" si="34"/>
        <v>232500</v>
      </c>
      <c r="R68" s="225">
        <f t="shared" si="8"/>
        <v>6066560.6589831896</v>
      </c>
      <c r="S68" s="225">
        <f t="shared" si="35"/>
        <v>141047.53532135914</v>
      </c>
      <c r="T68" s="225">
        <f t="shared" si="9"/>
        <v>91452.464678640856</v>
      </c>
      <c r="U68" s="226">
        <v>0.606656065898319</v>
      </c>
      <c r="V68" s="225"/>
      <c r="W68" s="224"/>
      <c r="X68" s="225">
        <f t="shared" si="3"/>
        <v>6066560.6589831896</v>
      </c>
      <c r="Y68" s="225">
        <f t="shared" si="3"/>
        <v>141047.53532135914</v>
      </c>
      <c r="Z68" s="227">
        <f t="shared" si="10"/>
        <v>6066560.6589831896</v>
      </c>
      <c r="AA68" s="227">
        <f t="shared" si="10"/>
        <v>141047.53532135914</v>
      </c>
      <c r="AB68" s="228"/>
      <c r="AC68" s="228"/>
      <c r="AD68" s="227">
        <f t="shared" si="19"/>
        <v>141047.53532135914</v>
      </c>
      <c r="AE68" s="229">
        <v>0</v>
      </c>
      <c r="AF68" s="229">
        <f t="shared" si="36"/>
        <v>2696249.1817703065</v>
      </c>
      <c r="AG68" s="229"/>
      <c r="AH68" s="230"/>
      <c r="AI68" s="230"/>
      <c r="AJ68" s="230"/>
      <c r="AK68" s="230"/>
      <c r="AL68" s="231">
        <v>141047.54</v>
      </c>
      <c r="AM68" s="230">
        <f t="shared" si="11"/>
        <v>-4.6786408638581634E-3</v>
      </c>
      <c r="AN68" s="230"/>
      <c r="AO68" s="230"/>
      <c r="AP68" s="230"/>
      <c r="AQ68" s="104">
        <f t="shared" si="12"/>
        <v>-4.6786408638581634E-3</v>
      </c>
      <c r="AR68" s="104"/>
      <c r="AS68" s="69">
        <f t="shared" si="13"/>
        <v>-4.6786408638581634E-3</v>
      </c>
      <c r="AT68" s="104">
        <f t="shared" si="14"/>
        <v>0</v>
      </c>
      <c r="AU68" s="232">
        <f t="shared" si="38"/>
        <v>3033280.3294915948</v>
      </c>
      <c r="AV68" s="232"/>
      <c r="AW68" s="232"/>
      <c r="AX68" s="233"/>
      <c r="AY68" s="233"/>
      <c r="AZ68" s="233"/>
      <c r="BA68" s="232">
        <f>AL68/K68/M68/6.28*12</f>
        <v>3864051.5033216905</v>
      </c>
      <c r="BB68" s="234">
        <f t="shared" si="15"/>
        <v>-830771.17383009568</v>
      </c>
      <c r="BC68" s="108">
        <f t="shared" si="32"/>
        <v>-0.11498963720695946</v>
      </c>
      <c r="BD68" s="183"/>
      <c r="BE68" s="183"/>
      <c r="BF68" s="183"/>
      <c r="BG68" s="110">
        <f t="shared" si="33"/>
        <v>-0.1341545767414527</v>
      </c>
      <c r="BH68" s="110"/>
      <c r="BI68" s="110">
        <f t="shared" si="16"/>
        <v>-4.6786408638581634E-3</v>
      </c>
      <c r="BJ68" s="116">
        <f t="shared" si="17"/>
        <v>-0.20793959394925171</v>
      </c>
      <c r="BK68" s="116"/>
      <c r="BL68" s="79"/>
      <c r="BM68" s="235"/>
    </row>
    <row r="69" spans="1:66" ht="25.5">
      <c r="A69" s="218">
        <f t="shared" si="18"/>
        <v>50</v>
      </c>
      <c r="B69" s="219" t="s">
        <v>156</v>
      </c>
      <c r="C69" s="220" t="s">
        <v>155</v>
      </c>
      <c r="D69" s="219" t="s">
        <v>120</v>
      </c>
      <c r="E69" s="219" t="s">
        <v>98</v>
      </c>
      <c r="F69" s="219"/>
      <c r="G69" s="219"/>
      <c r="H69" s="221">
        <v>43709</v>
      </c>
      <c r="I69" s="221">
        <v>43709</v>
      </c>
      <c r="J69" s="222">
        <v>10000000</v>
      </c>
      <c r="K69" s="223">
        <v>7.7499999999999999E-2</v>
      </c>
      <c r="L69" s="63">
        <v>7.4999999999999997E-2</v>
      </c>
      <c r="M69" s="224">
        <v>0.9</v>
      </c>
      <c r="N69" s="225">
        <v>3</v>
      </c>
      <c r="O69" s="225"/>
      <c r="P69" s="224">
        <v>12</v>
      </c>
      <c r="Q69" s="225">
        <f t="shared" si="34"/>
        <v>174375</v>
      </c>
      <c r="R69" s="225">
        <f t="shared" si="8"/>
        <v>6066560.6589831896</v>
      </c>
      <c r="S69" s="225">
        <f t="shared" si="35"/>
        <v>105785.65149101937</v>
      </c>
      <c r="T69" s="225">
        <f t="shared" si="9"/>
        <v>68589.348508980635</v>
      </c>
      <c r="U69" s="226">
        <v>0.606656065898319</v>
      </c>
      <c r="V69" s="225"/>
      <c r="W69" s="224"/>
      <c r="X69" s="225">
        <f t="shared" si="3"/>
        <v>6066560.6589831896</v>
      </c>
      <c r="Y69" s="225">
        <f t="shared" si="3"/>
        <v>105785.65149101937</v>
      </c>
      <c r="Z69" s="227">
        <f t="shared" si="10"/>
        <v>6066560.6589831896</v>
      </c>
      <c r="AA69" s="227">
        <f t="shared" si="10"/>
        <v>105785.65149101937</v>
      </c>
      <c r="AB69" s="228"/>
      <c r="AC69" s="228"/>
      <c r="AD69" s="227">
        <f t="shared" si="19"/>
        <v>105785.65149101937</v>
      </c>
      <c r="AE69" s="229">
        <v>0</v>
      </c>
      <c r="AF69" s="229">
        <f t="shared" si="36"/>
        <v>2022186.88632773</v>
      </c>
      <c r="AG69" s="229"/>
      <c r="AH69" s="230"/>
      <c r="AI69" s="230"/>
      <c r="AJ69" s="230"/>
      <c r="AK69" s="230"/>
      <c r="AL69" s="231">
        <v>105785.65</v>
      </c>
      <c r="AM69" s="230">
        <f t="shared" si="11"/>
        <v>1.4910193713149056E-3</v>
      </c>
      <c r="AN69" s="230"/>
      <c r="AO69" s="230"/>
      <c r="AP69" s="230"/>
      <c r="AQ69" s="104">
        <f t="shared" si="12"/>
        <v>1.4910193713149056E-3</v>
      </c>
      <c r="AR69" s="104"/>
      <c r="AS69" s="69">
        <f t="shared" si="13"/>
        <v>1.4910193713149056E-3</v>
      </c>
      <c r="AT69" s="104">
        <f t="shared" si="14"/>
        <v>0</v>
      </c>
      <c r="AU69" s="232">
        <f t="shared" si="38"/>
        <v>2274960.2471186961</v>
      </c>
      <c r="AV69" s="232"/>
      <c r="AW69" s="232"/>
      <c r="AX69" s="233"/>
      <c r="AY69" s="233"/>
      <c r="AZ69" s="233"/>
      <c r="BA69" s="232">
        <f>AL69/K69/M69/6.28*12</f>
        <v>2898038.4905143483</v>
      </c>
      <c r="BB69" s="234">
        <f t="shared" si="15"/>
        <v>-623078.24339565216</v>
      </c>
      <c r="BC69" s="108">
        <f t="shared" si="32"/>
        <v>3.6645637390228095E-2</v>
      </c>
      <c r="BD69" s="183"/>
      <c r="BE69" s="183"/>
      <c r="BF69" s="183"/>
      <c r="BG69" s="110">
        <f t="shared" si="33"/>
        <v>4.2753243621932779E-2</v>
      </c>
      <c r="BH69" s="110"/>
      <c r="BI69" s="110">
        <f t="shared" si="16"/>
        <v>1.4910193713149056E-3</v>
      </c>
      <c r="BJ69" s="116">
        <f t="shared" si="17"/>
        <v>6.6267527613995805E-2</v>
      </c>
      <c r="BK69" s="116"/>
      <c r="BL69" s="79"/>
      <c r="BM69" s="235"/>
    </row>
    <row r="70" spans="1:66" ht="38.25">
      <c r="A70" s="126">
        <f t="shared" si="18"/>
        <v>51</v>
      </c>
      <c r="B70" s="127" t="s">
        <v>156</v>
      </c>
      <c r="C70" s="140" t="s">
        <v>155</v>
      </c>
      <c r="D70" s="237" t="s">
        <v>120</v>
      </c>
      <c r="E70" s="237" t="s">
        <v>98</v>
      </c>
      <c r="F70" s="237"/>
      <c r="G70" s="237"/>
      <c r="H70" s="238">
        <v>43739</v>
      </c>
      <c r="I70" s="238">
        <v>43739</v>
      </c>
      <c r="J70" s="239">
        <v>10000000</v>
      </c>
      <c r="K70" s="240">
        <v>7.7499999999999999E-2</v>
      </c>
      <c r="L70" s="63">
        <v>7.4999999999999997E-2</v>
      </c>
      <c r="M70" s="241">
        <v>0.9</v>
      </c>
      <c r="N70" s="242">
        <v>2</v>
      </c>
      <c r="O70" s="242">
        <v>3</v>
      </c>
      <c r="P70" s="241">
        <v>12</v>
      </c>
      <c r="Q70" s="242">
        <f t="shared" si="34"/>
        <v>116250</v>
      </c>
      <c r="R70" s="242">
        <f t="shared" si="8"/>
        <v>6066560.6589831896</v>
      </c>
      <c r="S70" s="242">
        <f t="shared" si="35"/>
        <v>70523.767660679572</v>
      </c>
      <c r="T70" s="242">
        <f t="shared" si="9"/>
        <v>45726.232339320428</v>
      </c>
      <c r="U70" s="243">
        <v>0.606656065898319</v>
      </c>
      <c r="V70" s="242"/>
      <c r="W70" s="241"/>
      <c r="X70" s="242">
        <f t="shared" si="3"/>
        <v>6066560.6589831896</v>
      </c>
      <c r="Y70" s="242">
        <f t="shared" si="3"/>
        <v>70523.767660679572</v>
      </c>
      <c r="Z70" s="244">
        <f t="shared" si="10"/>
        <v>6066560.6589831896</v>
      </c>
      <c r="AA70" s="244">
        <f t="shared" si="10"/>
        <v>70523.767660679572</v>
      </c>
      <c r="AB70" s="245"/>
      <c r="AC70" s="245"/>
      <c r="AD70" s="244">
        <f t="shared" si="19"/>
        <v>70523.767660679572</v>
      </c>
      <c r="AE70" s="246">
        <v>0</v>
      </c>
      <c r="AF70" s="246">
        <f t="shared" si="36"/>
        <v>1348124.5908851533</v>
      </c>
      <c r="AG70" s="246"/>
      <c r="AH70" s="247"/>
      <c r="AI70" s="247"/>
      <c r="AJ70" s="70"/>
      <c r="AK70" s="70"/>
      <c r="AL70" s="71">
        <v>43115.67</v>
      </c>
      <c r="AM70" s="69">
        <f t="shared" si="11"/>
        <v>27408.097660679574</v>
      </c>
      <c r="AN70" s="69"/>
      <c r="AO70" s="69"/>
      <c r="AP70" s="69"/>
      <c r="AQ70" s="69">
        <f t="shared" si="12"/>
        <v>27408.097660679574</v>
      </c>
      <c r="AR70" s="69"/>
      <c r="AS70" s="69">
        <f t="shared" si="13"/>
        <v>27408.097660679574</v>
      </c>
      <c r="AT70" s="69">
        <f t="shared" si="14"/>
        <v>27408.097574999996</v>
      </c>
      <c r="AU70" s="248">
        <f t="shared" si="38"/>
        <v>1516640.1647457974</v>
      </c>
      <c r="AV70" s="248"/>
      <c r="AW70" s="248"/>
      <c r="AX70" s="249"/>
      <c r="AY70" s="74"/>
      <c r="AZ70" s="74"/>
      <c r="BA70" s="250">
        <f>AL70/K70/M70/6.28*12+1300.18</f>
        <v>1182470.5107992603</v>
      </c>
      <c r="BB70" s="76">
        <f t="shared" si="15"/>
        <v>334169.65394653706</v>
      </c>
      <c r="BC70" s="76">
        <f t="shared" si="32"/>
        <v>673624.52007814613</v>
      </c>
      <c r="BD70" s="251"/>
      <c r="BE70" s="251"/>
      <c r="BF70" s="251"/>
      <c r="BG70" s="78">
        <f t="shared" si="33"/>
        <v>785895.27342450386</v>
      </c>
      <c r="BH70" s="78"/>
      <c r="BI70" s="78">
        <f t="shared" si="16"/>
        <v>8.5679577750852332E-5</v>
      </c>
      <c r="BJ70" s="79">
        <f t="shared" si="17"/>
        <v>1218137.673807981</v>
      </c>
      <c r="BK70" s="79">
        <v>1218137.67</v>
      </c>
      <c r="BL70" s="79">
        <v>25000000</v>
      </c>
      <c r="BM70" s="111" t="s">
        <v>72</v>
      </c>
      <c r="BN70" s="252" t="s">
        <v>76</v>
      </c>
    </row>
    <row r="71" spans="1:66" ht="38.25">
      <c r="A71" s="126">
        <f t="shared" si="18"/>
        <v>52</v>
      </c>
      <c r="B71" s="127" t="s">
        <v>156</v>
      </c>
      <c r="C71" s="140" t="s">
        <v>155</v>
      </c>
      <c r="D71" s="237" t="s">
        <v>120</v>
      </c>
      <c r="E71" s="237" t="s">
        <v>98</v>
      </c>
      <c r="F71" s="237"/>
      <c r="G71" s="237"/>
      <c r="H71" s="238">
        <v>43770</v>
      </c>
      <c r="I71" s="238">
        <v>43770</v>
      </c>
      <c r="J71" s="239">
        <v>10000000</v>
      </c>
      <c r="K71" s="240">
        <v>7.7499999999999999E-2</v>
      </c>
      <c r="L71" s="63">
        <v>7.4999999999999997E-2</v>
      </c>
      <c r="M71" s="241">
        <v>0.9</v>
      </c>
      <c r="N71" s="242">
        <v>1</v>
      </c>
      <c r="O71" s="242">
        <v>2</v>
      </c>
      <c r="P71" s="241">
        <v>12</v>
      </c>
      <c r="Q71" s="242">
        <f t="shared" si="34"/>
        <v>58125</v>
      </c>
      <c r="R71" s="242">
        <f t="shared" si="8"/>
        <v>6066560.6589831896</v>
      </c>
      <c r="S71" s="242">
        <f t="shared" si="35"/>
        <v>35261.883830339786</v>
      </c>
      <c r="T71" s="242">
        <f t="shared" si="9"/>
        <v>22863.116169660214</v>
      </c>
      <c r="U71" s="243">
        <v>0.606656065898319</v>
      </c>
      <c r="V71" s="242"/>
      <c r="W71" s="241"/>
      <c r="X71" s="242">
        <f t="shared" si="3"/>
        <v>6066560.6589831896</v>
      </c>
      <c r="Y71" s="242">
        <f t="shared" si="3"/>
        <v>35261.883830339786</v>
      </c>
      <c r="Z71" s="244">
        <f t="shared" si="10"/>
        <v>6066560.6589831896</v>
      </c>
      <c r="AA71" s="244">
        <f t="shared" si="10"/>
        <v>35261.883830339786</v>
      </c>
      <c r="AB71" s="245"/>
      <c r="AC71" s="245"/>
      <c r="AD71" s="244">
        <f t="shared" si="19"/>
        <v>35261.883830339786</v>
      </c>
      <c r="AE71" s="246">
        <v>0</v>
      </c>
      <c r="AF71" s="246">
        <f t="shared" si="36"/>
        <v>674062.29544257664</v>
      </c>
      <c r="AG71" s="246"/>
      <c r="AH71" s="247"/>
      <c r="AI71" s="247"/>
      <c r="AJ71" s="70"/>
      <c r="AK71" s="70"/>
      <c r="AL71" s="71"/>
      <c r="AM71" s="69">
        <f t="shared" si="11"/>
        <v>35261.883830339786</v>
      </c>
      <c r="AN71" s="69"/>
      <c r="AO71" s="69"/>
      <c r="AP71" s="69"/>
      <c r="AQ71" s="69">
        <f t="shared" si="12"/>
        <v>35261.883830339786</v>
      </c>
      <c r="AR71" s="69"/>
      <c r="AS71" s="69">
        <f t="shared" si="13"/>
        <v>35261.883830339786</v>
      </c>
      <c r="AT71" s="69">
        <f t="shared" si="14"/>
        <v>35261.883900000001</v>
      </c>
      <c r="AU71" s="248">
        <f t="shared" si="38"/>
        <v>758320.0823728987</v>
      </c>
      <c r="AV71" s="248"/>
      <c r="AW71" s="248"/>
      <c r="AX71" s="249"/>
      <c r="AY71" s="74"/>
      <c r="AZ71" s="74"/>
      <c r="BA71" s="75"/>
      <c r="BB71" s="76">
        <f t="shared" si="15"/>
        <v>758320.0823728987</v>
      </c>
      <c r="BC71" s="76">
        <f t="shared" si="32"/>
        <v>866651.52271188423</v>
      </c>
      <c r="BD71" s="251"/>
      <c r="BE71" s="251"/>
      <c r="BF71" s="251"/>
      <c r="BG71" s="78">
        <f t="shared" si="33"/>
        <v>1011093.443163865</v>
      </c>
      <c r="BH71" s="78"/>
      <c r="BI71" s="78">
        <f t="shared" si="16"/>
        <v>-6.9660214649047703E-5</v>
      </c>
      <c r="BJ71" s="79">
        <f t="shared" si="17"/>
        <v>1567194.8369039905</v>
      </c>
      <c r="BK71" s="79">
        <v>1567194.84</v>
      </c>
      <c r="BL71" s="79">
        <v>25000000</v>
      </c>
      <c r="BM71" s="111" t="s">
        <v>157</v>
      </c>
      <c r="BN71" s="252" t="s">
        <v>76</v>
      </c>
    </row>
    <row r="72" spans="1:66" ht="25.5">
      <c r="A72" s="236">
        <f t="shared" si="18"/>
        <v>53</v>
      </c>
      <c r="B72" s="237" t="s">
        <v>156</v>
      </c>
      <c r="C72" s="253" t="s">
        <v>155</v>
      </c>
      <c r="D72" s="237" t="s">
        <v>120</v>
      </c>
      <c r="E72" s="237" t="s">
        <v>98</v>
      </c>
      <c r="F72" s="237"/>
      <c r="G72" s="237"/>
      <c r="H72" s="238">
        <v>43800</v>
      </c>
      <c r="I72" s="238">
        <v>43800</v>
      </c>
      <c r="J72" s="239">
        <v>10000000</v>
      </c>
      <c r="K72" s="240">
        <v>7.7499999999999999E-2</v>
      </c>
      <c r="L72" s="63">
        <v>7.4999999999999997E-2</v>
      </c>
      <c r="M72" s="241">
        <v>0.9</v>
      </c>
      <c r="N72" s="242">
        <v>0</v>
      </c>
      <c r="O72" s="242">
        <v>0</v>
      </c>
      <c r="P72" s="241">
        <v>12</v>
      </c>
      <c r="Q72" s="242">
        <f t="shared" si="34"/>
        <v>0</v>
      </c>
      <c r="R72" s="242">
        <f t="shared" si="8"/>
        <v>6066560.6589831896</v>
      </c>
      <c r="S72" s="242">
        <f t="shared" si="35"/>
        <v>0</v>
      </c>
      <c r="T72" s="242">
        <f t="shared" si="9"/>
        <v>0</v>
      </c>
      <c r="U72" s="243">
        <v>0.606656065898319</v>
      </c>
      <c r="V72" s="242"/>
      <c r="W72" s="241"/>
      <c r="X72" s="242">
        <f t="shared" si="3"/>
        <v>6066560.6589831896</v>
      </c>
      <c r="Y72" s="242">
        <f t="shared" si="3"/>
        <v>0</v>
      </c>
      <c r="Z72" s="244">
        <f t="shared" si="10"/>
        <v>6066560.6589831896</v>
      </c>
      <c r="AA72" s="244">
        <f t="shared" si="10"/>
        <v>0</v>
      </c>
      <c r="AB72" s="245"/>
      <c r="AC72" s="245"/>
      <c r="AD72" s="244">
        <f t="shared" si="19"/>
        <v>0</v>
      </c>
      <c r="AE72" s="246">
        <v>0</v>
      </c>
      <c r="AF72" s="246">
        <f t="shared" si="36"/>
        <v>0</v>
      </c>
      <c r="AG72" s="246"/>
      <c r="AH72" s="247"/>
      <c r="AI72" s="247"/>
      <c r="AJ72" s="70"/>
      <c r="AK72" s="70"/>
      <c r="AL72" s="71"/>
      <c r="AM72" s="69">
        <f t="shared" si="11"/>
        <v>0</v>
      </c>
      <c r="AN72" s="69"/>
      <c r="AO72" s="69"/>
      <c r="AP72" s="69"/>
      <c r="AQ72" s="69">
        <f t="shared" si="12"/>
        <v>0</v>
      </c>
      <c r="AR72" s="69"/>
      <c r="AS72" s="69">
        <f t="shared" si="13"/>
        <v>0</v>
      </c>
      <c r="AT72" s="69">
        <f t="shared" si="14"/>
        <v>0</v>
      </c>
      <c r="AU72" s="248">
        <f t="shared" si="38"/>
        <v>0</v>
      </c>
      <c r="AV72" s="248"/>
      <c r="AW72" s="248"/>
      <c r="AX72" s="249"/>
      <c r="AY72" s="74"/>
      <c r="AZ72" s="74"/>
      <c r="BA72" s="75"/>
      <c r="BB72" s="76">
        <f t="shared" si="15"/>
        <v>0</v>
      </c>
      <c r="BC72" s="76">
        <f t="shared" si="32"/>
        <v>0</v>
      </c>
      <c r="BD72" s="251"/>
      <c r="BE72" s="251"/>
      <c r="BF72" s="251"/>
      <c r="BG72" s="78">
        <f t="shared" si="33"/>
        <v>0</v>
      </c>
      <c r="BH72" s="78"/>
      <c r="BI72" s="78">
        <f t="shared" si="16"/>
        <v>0</v>
      </c>
      <c r="BJ72" s="79">
        <f t="shared" si="17"/>
        <v>0</v>
      </c>
      <c r="BK72" s="79"/>
      <c r="BL72" s="79"/>
      <c r="BM72" s="235"/>
    </row>
    <row r="73" spans="1:66" s="81" customFormat="1" ht="51">
      <c r="A73" s="56">
        <f t="shared" si="18"/>
        <v>54</v>
      </c>
      <c r="B73" s="57" t="s">
        <v>158</v>
      </c>
      <c r="C73" s="58" t="s">
        <v>159</v>
      </c>
      <c r="D73" s="57" t="s">
        <v>64</v>
      </c>
      <c r="E73" s="57" t="s">
        <v>65</v>
      </c>
      <c r="F73" s="57"/>
      <c r="G73" s="57"/>
      <c r="H73" s="60">
        <v>43770</v>
      </c>
      <c r="I73" s="60">
        <v>43770</v>
      </c>
      <c r="J73" s="62">
        <v>15000000</v>
      </c>
      <c r="K73" s="63">
        <v>7.7499999999999999E-2</v>
      </c>
      <c r="L73" s="63">
        <v>7.4999999999999997E-2</v>
      </c>
      <c r="M73" s="64">
        <v>0.9</v>
      </c>
      <c r="N73" s="65">
        <v>1</v>
      </c>
      <c r="O73" s="65">
        <v>3</v>
      </c>
      <c r="P73" s="64">
        <v>12</v>
      </c>
      <c r="Q73" s="65">
        <f t="shared" si="34"/>
        <v>87187.5</v>
      </c>
      <c r="R73" s="65">
        <f t="shared" si="8"/>
        <v>9099840.9884747844</v>
      </c>
      <c r="S73" s="65">
        <f t="shared" si="35"/>
        <v>52892.825745509683</v>
      </c>
      <c r="T73" s="65">
        <f t="shared" si="9"/>
        <v>34294.674254490317</v>
      </c>
      <c r="U73" s="66">
        <v>0.606656065898319</v>
      </c>
      <c r="V73" s="65"/>
      <c r="W73" s="64"/>
      <c r="X73" s="65">
        <f t="shared" si="3"/>
        <v>9099840.9884747844</v>
      </c>
      <c r="Y73" s="65">
        <f t="shared" si="3"/>
        <v>52892.825745509683</v>
      </c>
      <c r="Z73" s="67">
        <f t="shared" si="10"/>
        <v>9099840.9884747844</v>
      </c>
      <c r="AA73" s="67">
        <f t="shared" si="10"/>
        <v>52892.825745509683</v>
      </c>
      <c r="AB73" s="67"/>
      <c r="AC73" s="67"/>
      <c r="AD73" s="67">
        <f t="shared" si="19"/>
        <v>52892.825745509683</v>
      </c>
      <c r="AE73" s="68">
        <v>909984.09884747851</v>
      </c>
      <c r="AF73" s="68">
        <f t="shared" si="36"/>
        <v>1011093.443163865</v>
      </c>
      <c r="AG73" s="68"/>
      <c r="AH73" s="69"/>
      <c r="AI73" s="69"/>
      <c r="AJ73" s="70"/>
      <c r="AK73" s="70"/>
      <c r="AL73" s="71"/>
      <c r="AM73" s="69">
        <f t="shared" si="11"/>
        <v>52892.825745509683</v>
      </c>
      <c r="AN73" s="69"/>
      <c r="AO73" s="69"/>
      <c r="AP73" s="69"/>
      <c r="AQ73" s="69">
        <f t="shared" si="12"/>
        <v>52892.825745509683</v>
      </c>
      <c r="AR73" s="69"/>
      <c r="AS73" s="69">
        <f t="shared" ref="AS73:AS136" si="39">AQ73-AR73</f>
        <v>52892.825745509683</v>
      </c>
      <c r="AT73" s="69">
        <f t="shared" ref="AT73:AT136" si="40">BK73*L73*M73*4/P73</f>
        <v>52892.825849999994</v>
      </c>
      <c r="AU73" s="72">
        <f t="shared" si="38"/>
        <v>1137480.1235593481</v>
      </c>
      <c r="AV73" s="72"/>
      <c r="AW73" s="72"/>
      <c r="AX73" s="73"/>
      <c r="AY73" s="74"/>
      <c r="AZ73" s="74"/>
      <c r="BA73" s="75"/>
      <c r="BB73" s="76">
        <f t="shared" si="15"/>
        <v>1137480.1235593481</v>
      </c>
      <c r="BC73" s="76">
        <f t="shared" si="32"/>
        <v>1299977.2840678263</v>
      </c>
      <c r="BD73" s="77"/>
      <c r="BE73" s="77"/>
      <c r="BF73" s="77"/>
      <c r="BG73" s="78">
        <f t="shared" si="33"/>
        <v>1516640.1647457974</v>
      </c>
      <c r="BH73" s="78"/>
      <c r="BI73" s="78">
        <f t="shared" ref="BI73:BI136" si="41">AS73-AT73</f>
        <v>-1.0449031105963513E-4</v>
      </c>
      <c r="BJ73" s="79">
        <f t="shared" ref="BJ73:BJ136" si="42">AS73/L73/M73/4*P73</f>
        <v>2350792.2553559858</v>
      </c>
      <c r="BK73" s="79">
        <v>2350792.2599999998</v>
      </c>
      <c r="BL73" s="79">
        <v>15000000</v>
      </c>
      <c r="BM73" s="82" t="s">
        <v>160</v>
      </c>
      <c r="BN73" s="83" t="s">
        <v>73</v>
      </c>
    </row>
    <row r="74" spans="1:66" s="112" customFormat="1" ht="25.5">
      <c r="A74" s="84">
        <f t="shared" si="18"/>
        <v>55</v>
      </c>
      <c r="B74" s="85" t="s">
        <v>161</v>
      </c>
      <c r="C74" s="86" t="s">
        <v>162</v>
      </c>
      <c r="D74" s="85" t="s">
        <v>64</v>
      </c>
      <c r="E74" s="87" t="s">
        <v>98</v>
      </c>
      <c r="F74" s="89"/>
      <c r="G74" s="89"/>
      <c r="H74" s="90">
        <v>43497</v>
      </c>
      <c r="I74" s="90">
        <v>43497</v>
      </c>
      <c r="J74" s="91">
        <v>10000000</v>
      </c>
      <c r="K74" s="92">
        <v>7.7499999999999999E-2</v>
      </c>
      <c r="L74" s="63">
        <v>7.4999999999999997E-2</v>
      </c>
      <c r="M74" s="93">
        <v>0.9</v>
      </c>
      <c r="N74" s="94">
        <v>10</v>
      </c>
      <c r="O74" s="94"/>
      <c r="P74" s="93">
        <v>12</v>
      </c>
      <c r="Q74" s="95">
        <f t="shared" si="34"/>
        <v>581250</v>
      </c>
      <c r="R74" s="94">
        <f t="shared" si="8"/>
        <v>6066560.6589831896</v>
      </c>
      <c r="S74" s="95">
        <f t="shared" si="35"/>
        <v>352618.83830339788</v>
      </c>
      <c r="T74" s="95">
        <f t="shared" si="9"/>
        <v>228631.16169660212</v>
      </c>
      <c r="U74" s="96">
        <v>0.606656065898319</v>
      </c>
      <c r="V74" s="254">
        <v>10000000</v>
      </c>
      <c r="W74" s="122">
        <v>581250</v>
      </c>
      <c r="X74" s="95">
        <f t="shared" si="3"/>
        <v>-3933439.3410168104</v>
      </c>
      <c r="Y74" s="95">
        <f t="shared" si="3"/>
        <v>-228631.16169660212</v>
      </c>
      <c r="Z74" s="98">
        <f t="shared" si="10"/>
        <v>-3933439.3410168104</v>
      </c>
      <c r="AA74" s="98">
        <f t="shared" si="10"/>
        <v>-228631.16169660212</v>
      </c>
      <c r="AB74" s="98"/>
      <c r="AC74" s="98"/>
      <c r="AD74" s="98">
        <f t="shared" si="19"/>
        <v>-228631.16169660212</v>
      </c>
      <c r="AE74" s="100">
        <v>-3933439.3410168113</v>
      </c>
      <c r="AF74" s="100">
        <f t="shared" si="36"/>
        <v>-4370488.1566853458</v>
      </c>
      <c r="AG74" s="100"/>
      <c r="AH74" s="101"/>
      <c r="AI74" s="101"/>
      <c r="AJ74" s="101"/>
      <c r="AK74" s="101"/>
      <c r="AL74" s="101"/>
      <c r="AM74" s="104">
        <f t="shared" si="11"/>
        <v>-228631.16169660212</v>
      </c>
      <c r="AN74" s="104"/>
      <c r="AO74" s="104"/>
      <c r="AP74" s="104"/>
      <c r="AQ74" s="104">
        <f t="shared" si="12"/>
        <v>-228631.16169660212</v>
      </c>
      <c r="AR74" s="104"/>
      <c r="AS74" s="104">
        <f t="shared" si="39"/>
        <v>-228631.16169660212</v>
      </c>
      <c r="AT74" s="104">
        <f t="shared" si="40"/>
        <v>0</v>
      </c>
      <c r="AU74" s="105">
        <f t="shared" si="38"/>
        <v>-4916799.1762710139</v>
      </c>
      <c r="AV74" s="106"/>
      <c r="AW74" s="106"/>
      <c r="AX74" s="107"/>
      <c r="AY74" s="107"/>
      <c r="AZ74" s="107"/>
      <c r="BA74" s="107"/>
      <c r="BB74" s="108">
        <f t="shared" si="15"/>
        <v>-4916799.1762710139</v>
      </c>
      <c r="BC74" s="108">
        <f t="shared" si="32"/>
        <v>-5619199.0585954441</v>
      </c>
      <c r="BD74" s="109"/>
      <c r="BE74" s="109"/>
      <c r="BF74" s="109"/>
      <c r="BG74" s="110">
        <f t="shared" si="33"/>
        <v>-6555732.2350280192</v>
      </c>
      <c r="BH74" s="110"/>
      <c r="BI74" s="110"/>
      <c r="BJ74" s="123">
        <f t="shared" si="42"/>
        <v>-10161384.964293428</v>
      </c>
      <c r="BK74" s="116"/>
      <c r="BL74" s="79"/>
      <c r="BM74" s="111"/>
    </row>
    <row r="75" spans="1:66" s="170" customFormat="1" ht="25.5" hidden="1">
      <c r="A75" s="150"/>
      <c r="B75" s="151" t="s">
        <v>161</v>
      </c>
      <c r="C75" s="152" t="s">
        <v>162</v>
      </c>
      <c r="D75" s="153"/>
      <c r="E75" s="127" t="s">
        <v>65</v>
      </c>
      <c r="F75" s="153"/>
      <c r="G75" s="153"/>
      <c r="H75" s="155"/>
      <c r="I75" s="155"/>
      <c r="J75" s="156"/>
      <c r="K75" s="157"/>
      <c r="L75" s="63">
        <v>7.4999999999999997E-2</v>
      </c>
      <c r="M75" s="93">
        <v>0.9</v>
      </c>
      <c r="N75" s="94">
        <v>10</v>
      </c>
      <c r="O75" s="94">
        <v>4</v>
      </c>
      <c r="P75" s="93">
        <v>12</v>
      </c>
      <c r="Q75" s="158"/>
      <c r="R75" s="158"/>
      <c r="S75" s="158"/>
      <c r="T75" s="158"/>
      <c r="U75" s="159"/>
      <c r="V75" s="192"/>
      <c r="W75" s="193"/>
      <c r="X75" s="158"/>
      <c r="Y75" s="158"/>
      <c r="Z75" s="161"/>
      <c r="AA75" s="161"/>
      <c r="AB75" s="161"/>
      <c r="AC75" s="161"/>
      <c r="AD75" s="161"/>
      <c r="AE75" s="163"/>
      <c r="AF75" s="163"/>
      <c r="AG75" s="163"/>
      <c r="AH75" s="102"/>
      <c r="AI75" s="102"/>
      <c r="AJ75" s="102"/>
      <c r="AK75" s="102"/>
      <c r="AL75" s="102"/>
      <c r="AM75" s="70"/>
      <c r="AN75" s="70"/>
      <c r="AO75" s="70"/>
      <c r="AP75" s="70"/>
      <c r="AQ75" s="70"/>
      <c r="AR75" s="70"/>
      <c r="AS75" s="69">
        <f t="shared" si="39"/>
        <v>0</v>
      </c>
      <c r="AT75" s="69">
        <f t="shared" si="40"/>
        <v>0</v>
      </c>
      <c r="AU75" s="164"/>
      <c r="AV75" s="165"/>
      <c r="AW75" s="165"/>
      <c r="AX75" s="166"/>
      <c r="AY75" s="166"/>
      <c r="AZ75" s="166"/>
      <c r="BA75" s="166"/>
      <c r="BB75" s="137"/>
      <c r="BC75" s="137"/>
      <c r="BD75" s="167"/>
      <c r="BE75" s="167"/>
      <c r="BF75" s="167"/>
      <c r="BG75" s="168"/>
      <c r="BH75" s="168"/>
      <c r="BI75" s="78">
        <f t="shared" si="41"/>
        <v>0</v>
      </c>
      <c r="BJ75" s="79">
        <f t="shared" si="42"/>
        <v>0</v>
      </c>
      <c r="BK75" s="79"/>
      <c r="BL75" s="169">
        <v>4600000</v>
      </c>
      <c r="BM75" s="186" t="s">
        <v>72</v>
      </c>
      <c r="BN75" s="170" t="s">
        <v>73</v>
      </c>
    </row>
    <row r="76" spans="1:66" s="112" customFormat="1" ht="25.5">
      <c r="A76" s="84">
        <f>A74+1</f>
        <v>56</v>
      </c>
      <c r="B76" s="85" t="s">
        <v>163</v>
      </c>
      <c r="C76" s="86" t="s">
        <v>164</v>
      </c>
      <c r="D76" s="85" t="s">
        <v>64</v>
      </c>
      <c r="E76" s="87" t="s">
        <v>98</v>
      </c>
      <c r="F76" s="89"/>
      <c r="G76" s="89"/>
      <c r="H76" s="90">
        <v>43497</v>
      </c>
      <c r="I76" s="90">
        <v>43497</v>
      </c>
      <c r="J76" s="91">
        <v>5000000</v>
      </c>
      <c r="K76" s="92">
        <v>7.7499999999999999E-2</v>
      </c>
      <c r="L76" s="63">
        <v>7.4999999999999997E-2</v>
      </c>
      <c r="M76" s="93">
        <v>0.9</v>
      </c>
      <c r="N76" s="94">
        <v>10</v>
      </c>
      <c r="O76" s="94"/>
      <c r="P76" s="93">
        <v>12</v>
      </c>
      <c r="Q76" s="95">
        <f t="shared" ref="Q76:Q85" si="43">J76*K76*M76*N76/P76</f>
        <v>290625</v>
      </c>
      <c r="R76" s="94">
        <f t="shared" si="8"/>
        <v>3033280.3294915948</v>
      </c>
      <c r="S76" s="95">
        <f t="shared" ref="S76:S85" si="44">R76*K76*M76*N76/P76</f>
        <v>176309.41915169894</v>
      </c>
      <c r="T76" s="95">
        <f t="shared" si="9"/>
        <v>114315.58084830106</v>
      </c>
      <c r="U76" s="96">
        <v>0.606656065898319</v>
      </c>
      <c r="V76" s="254">
        <v>4000000</v>
      </c>
      <c r="W76" s="122">
        <v>232500</v>
      </c>
      <c r="X76" s="95">
        <f t="shared" si="3"/>
        <v>-966719.67050840519</v>
      </c>
      <c r="Y76" s="95">
        <f t="shared" si="3"/>
        <v>-56190.580848301062</v>
      </c>
      <c r="Z76" s="98">
        <f t="shared" si="10"/>
        <v>-966719.67050840519</v>
      </c>
      <c r="AA76" s="98">
        <f t="shared" si="10"/>
        <v>-56190.580848301062</v>
      </c>
      <c r="AB76" s="98"/>
      <c r="AC76" s="98"/>
      <c r="AD76" s="98">
        <f t="shared" si="19"/>
        <v>-56190.580848301062</v>
      </c>
      <c r="AE76" s="100">
        <v>-966719.67050840519</v>
      </c>
      <c r="AF76" s="100">
        <f t="shared" ref="AF76:AF85" si="45">AD76/K76/M76/9*P76</f>
        <v>-1074132.9672315614</v>
      </c>
      <c r="AG76" s="100"/>
      <c r="AH76" s="101"/>
      <c r="AI76" s="101"/>
      <c r="AJ76" s="101"/>
      <c r="AK76" s="101"/>
      <c r="AL76" s="101"/>
      <c r="AM76" s="104">
        <f t="shared" si="11"/>
        <v>-56190.580848301062</v>
      </c>
      <c r="AN76" s="104"/>
      <c r="AO76" s="104"/>
      <c r="AP76" s="104"/>
      <c r="AQ76" s="104">
        <f t="shared" si="12"/>
        <v>-56190.580848301062</v>
      </c>
      <c r="AR76" s="104"/>
      <c r="AS76" s="104">
        <f t="shared" si="39"/>
        <v>-56190.580848301062</v>
      </c>
      <c r="AT76" s="104">
        <f t="shared" si="40"/>
        <v>0</v>
      </c>
      <c r="AU76" s="105">
        <f t="shared" ref="AU76:AU85" si="46">AD76/K76/M76/8*P76</f>
        <v>-1208399.5881355065</v>
      </c>
      <c r="AV76" s="106"/>
      <c r="AW76" s="106"/>
      <c r="AX76" s="107"/>
      <c r="AY76" s="107"/>
      <c r="AZ76" s="107"/>
      <c r="BA76" s="107"/>
      <c r="BB76" s="108">
        <f t="shared" si="15"/>
        <v>-1208399.5881355065</v>
      </c>
      <c r="BC76" s="108">
        <f t="shared" ref="BC76:BC85" si="47">AM76/K76/M76/7*P76</f>
        <v>-1381028.1007262934</v>
      </c>
      <c r="BD76" s="109"/>
      <c r="BE76" s="109"/>
      <c r="BF76" s="109"/>
      <c r="BG76" s="110">
        <f t="shared" ref="BG76:BG85" si="48">AQ76/K76/M76/6*P76</f>
        <v>-1611199.4508473421</v>
      </c>
      <c r="BH76" s="110"/>
      <c r="BI76" s="110">
        <f t="shared" si="41"/>
        <v>-56190.580848301062</v>
      </c>
      <c r="BJ76" s="123">
        <f t="shared" si="42"/>
        <v>-2497359.1488133804</v>
      </c>
      <c r="BK76" s="116"/>
      <c r="BL76" s="79"/>
      <c r="BM76" s="111"/>
    </row>
    <row r="77" spans="1:66" s="5" customFormat="1" ht="25.5">
      <c r="A77" s="126">
        <f t="shared" ref="A77:A85" si="49">A76+1</f>
        <v>57</v>
      </c>
      <c r="B77" s="127" t="s">
        <v>165</v>
      </c>
      <c r="C77" s="140" t="s">
        <v>166</v>
      </c>
      <c r="D77" s="127" t="s">
        <v>64</v>
      </c>
      <c r="E77" s="141" t="s">
        <v>98</v>
      </c>
      <c r="F77" s="127"/>
      <c r="G77" s="127"/>
      <c r="H77" s="129">
        <v>43466</v>
      </c>
      <c r="I77" s="60" t="s">
        <v>117</v>
      </c>
      <c r="J77" s="130">
        <v>10000000</v>
      </c>
      <c r="K77" s="142">
        <v>7.7499999999999999E-2</v>
      </c>
      <c r="L77" s="63">
        <v>7.4999999999999997E-2</v>
      </c>
      <c r="M77" s="133">
        <v>0.9</v>
      </c>
      <c r="N77" s="131">
        <v>10</v>
      </c>
      <c r="O77" s="131">
        <v>3</v>
      </c>
      <c r="P77" s="133">
        <v>12</v>
      </c>
      <c r="Q77" s="131">
        <f t="shared" si="43"/>
        <v>581250</v>
      </c>
      <c r="R77" s="131">
        <f t="shared" si="8"/>
        <v>6066560.6589831896</v>
      </c>
      <c r="S77" s="131">
        <f t="shared" si="44"/>
        <v>352618.83830339788</v>
      </c>
      <c r="T77" s="131">
        <f t="shared" si="9"/>
        <v>228631.16169660212</v>
      </c>
      <c r="U77" s="132">
        <v>0.606656065898319</v>
      </c>
      <c r="V77" s="131"/>
      <c r="W77" s="133"/>
      <c r="X77" s="131">
        <f t="shared" si="3"/>
        <v>6066560.6589831896</v>
      </c>
      <c r="Y77" s="131">
        <f t="shared" si="3"/>
        <v>352618.83830339788</v>
      </c>
      <c r="Z77" s="134">
        <f t="shared" si="10"/>
        <v>6066560.6589831896</v>
      </c>
      <c r="AA77" s="134">
        <f t="shared" si="10"/>
        <v>352618.83830339788</v>
      </c>
      <c r="AB77" s="134"/>
      <c r="AC77" s="134"/>
      <c r="AD77" s="134">
        <f t="shared" si="19"/>
        <v>352618.83830339788</v>
      </c>
      <c r="AE77" s="135">
        <v>6066560.6589831896</v>
      </c>
      <c r="AF77" s="135">
        <f t="shared" si="45"/>
        <v>6740622.9544257652</v>
      </c>
      <c r="AG77" s="135"/>
      <c r="AH77" s="70"/>
      <c r="AI77" s="70"/>
      <c r="AJ77" s="70">
        <v>323133.59999999998</v>
      </c>
      <c r="AK77" s="70"/>
      <c r="AL77" s="71"/>
      <c r="AM77" s="69">
        <f t="shared" si="11"/>
        <v>29485.238303397899</v>
      </c>
      <c r="AN77" s="69"/>
      <c r="AO77" s="69"/>
      <c r="AP77" s="69"/>
      <c r="AQ77" s="69">
        <f t="shared" si="12"/>
        <v>29485.238303397899</v>
      </c>
      <c r="AR77" s="69"/>
      <c r="AS77" s="69">
        <f t="shared" si="39"/>
        <v>29485.238303397899</v>
      </c>
      <c r="AT77" s="69">
        <f t="shared" si="40"/>
        <v>29485.238400000002</v>
      </c>
      <c r="AU77" s="136">
        <f t="shared" si="46"/>
        <v>7583200.8237289861</v>
      </c>
      <c r="AV77" s="136"/>
      <c r="AW77" s="136"/>
      <c r="AX77" s="74"/>
      <c r="AY77" s="136">
        <v>10000000</v>
      </c>
      <c r="AZ77" s="136"/>
      <c r="BA77" s="250"/>
      <c r="BB77" s="76">
        <f t="shared" si="15"/>
        <v>-2416799.1762710139</v>
      </c>
      <c r="BC77" s="76">
        <f t="shared" si="47"/>
        <v>724675.5957824369</v>
      </c>
      <c r="BD77" s="138"/>
      <c r="BE77" s="138"/>
      <c r="BF77" s="138"/>
      <c r="BG77" s="78">
        <f t="shared" si="48"/>
        <v>845454.86174617638</v>
      </c>
      <c r="BH77" s="78"/>
      <c r="BI77" s="78">
        <f t="shared" si="41"/>
        <v>-9.6602103440091014E-5</v>
      </c>
      <c r="BJ77" s="79">
        <f t="shared" si="42"/>
        <v>1310455.0357065734</v>
      </c>
      <c r="BK77" s="79">
        <v>1310455.04</v>
      </c>
      <c r="BL77" s="79">
        <v>0</v>
      </c>
      <c r="BM77" s="80" t="s">
        <v>167</v>
      </c>
      <c r="BN77" s="81" t="s">
        <v>64</v>
      </c>
    </row>
    <row r="78" spans="1:66" s="81" customFormat="1" ht="25.5">
      <c r="A78" s="56">
        <f t="shared" si="49"/>
        <v>58</v>
      </c>
      <c r="B78" s="57" t="s">
        <v>168</v>
      </c>
      <c r="C78" s="58" t="s">
        <v>169</v>
      </c>
      <c r="D78" s="57" t="s">
        <v>64</v>
      </c>
      <c r="E78" s="57" t="s">
        <v>65</v>
      </c>
      <c r="F78" s="57"/>
      <c r="G78" s="57"/>
      <c r="H78" s="60">
        <v>43497</v>
      </c>
      <c r="I78" s="61" t="s">
        <v>170</v>
      </c>
      <c r="J78" s="62">
        <v>15000000</v>
      </c>
      <c r="K78" s="63">
        <v>7.7499999999999999E-2</v>
      </c>
      <c r="L78" s="63">
        <v>7.4999999999999997E-2</v>
      </c>
      <c r="M78" s="64">
        <v>0.9</v>
      </c>
      <c r="N78" s="65">
        <v>10</v>
      </c>
      <c r="O78" s="65">
        <v>4</v>
      </c>
      <c r="P78" s="64">
        <v>12</v>
      </c>
      <c r="Q78" s="65">
        <f t="shared" si="43"/>
        <v>871875</v>
      </c>
      <c r="R78" s="65">
        <f t="shared" si="8"/>
        <v>9099840.9884747844</v>
      </c>
      <c r="S78" s="65">
        <f t="shared" si="44"/>
        <v>528928.25745509693</v>
      </c>
      <c r="T78" s="65">
        <f t="shared" si="9"/>
        <v>342946.74254490307</v>
      </c>
      <c r="U78" s="66">
        <v>0.606656065898319</v>
      </c>
      <c r="V78" s="65"/>
      <c r="W78" s="64"/>
      <c r="X78" s="65">
        <f t="shared" si="3"/>
        <v>9099840.9884747844</v>
      </c>
      <c r="Y78" s="65">
        <f t="shared" si="3"/>
        <v>528928.25745509693</v>
      </c>
      <c r="Z78" s="67">
        <f t="shared" si="10"/>
        <v>9099840.9884747844</v>
      </c>
      <c r="AA78" s="67">
        <f t="shared" si="10"/>
        <v>528928.25745509693</v>
      </c>
      <c r="AB78" s="67">
        <v>515958.9</v>
      </c>
      <c r="AC78" s="67"/>
      <c r="AD78" s="67">
        <f t="shared" si="19"/>
        <v>12969.357455096906</v>
      </c>
      <c r="AE78" s="68">
        <v>-5900159.0115252137</v>
      </c>
      <c r="AF78" s="68">
        <f t="shared" si="45"/>
        <v>247920.81156696595</v>
      </c>
      <c r="AG78" s="68"/>
      <c r="AH78" s="69"/>
      <c r="AI78" s="69"/>
      <c r="AJ78" s="70"/>
      <c r="AK78" s="70"/>
      <c r="AL78" s="71"/>
      <c r="AM78" s="69">
        <f t="shared" si="11"/>
        <v>12969.357455096906</v>
      </c>
      <c r="AN78" s="69"/>
      <c r="AO78" s="69"/>
      <c r="AP78" s="69"/>
      <c r="AQ78" s="69">
        <f t="shared" si="12"/>
        <v>12969.357455096906</v>
      </c>
      <c r="AR78" s="69"/>
      <c r="AS78" s="69">
        <f t="shared" si="39"/>
        <v>12969.357455096906</v>
      </c>
      <c r="AT78" s="69">
        <f t="shared" si="40"/>
        <v>12969.357524999999</v>
      </c>
      <c r="AU78" s="72">
        <f t="shared" si="46"/>
        <v>278910.91301283665</v>
      </c>
      <c r="AV78" s="72"/>
      <c r="AW78" s="72"/>
      <c r="AX78" s="73"/>
      <c r="AY78" s="74"/>
      <c r="AZ78" s="74"/>
      <c r="BA78" s="75"/>
      <c r="BB78" s="76">
        <f t="shared" si="15"/>
        <v>278910.91301283665</v>
      </c>
      <c r="BC78" s="76">
        <f t="shared" si="47"/>
        <v>318755.32915752765</v>
      </c>
      <c r="BD78" s="77"/>
      <c r="BE78" s="77"/>
      <c r="BF78" s="77"/>
      <c r="BG78" s="78">
        <f t="shared" si="48"/>
        <v>371881.21735044889</v>
      </c>
      <c r="BH78" s="78"/>
      <c r="BI78" s="78">
        <f t="shared" si="41"/>
        <v>-6.9903093390166759E-5</v>
      </c>
      <c r="BJ78" s="79">
        <f t="shared" si="42"/>
        <v>576415.8868931958</v>
      </c>
      <c r="BK78" s="79">
        <v>576415.89</v>
      </c>
      <c r="BL78" s="79">
        <v>15000000</v>
      </c>
      <c r="BM78" s="144" t="s">
        <v>99</v>
      </c>
      <c r="BN78" s="145" t="s">
        <v>73</v>
      </c>
    </row>
    <row r="79" spans="1:66" s="112" customFormat="1" ht="25.5">
      <c r="A79" s="84">
        <f t="shared" si="49"/>
        <v>59</v>
      </c>
      <c r="B79" s="85" t="s">
        <v>171</v>
      </c>
      <c r="C79" s="86" t="s">
        <v>172</v>
      </c>
      <c r="D79" s="85" t="s">
        <v>64</v>
      </c>
      <c r="E79" s="87" t="s">
        <v>65</v>
      </c>
      <c r="F79" s="89"/>
      <c r="G79" s="89"/>
      <c r="H79" s="90">
        <v>43525</v>
      </c>
      <c r="I79" s="90">
        <v>43525</v>
      </c>
      <c r="J79" s="91">
        <v>3000000</v>
      </c>
      <c r="K79" s="92">
        <v>7.7499999999999999E-2</v>
      </c>
      <c r="L79" s="63">
        <v>7.4999999999999997E-2</v>
      </c>
      <c r="M79" s="93">
        <v>0.9</v>
      </c>
      <c r="N79" s="94">
        <v>9</v>
      </c>
      <c r="O79" s="94"/>
      <c r="P79" s="93">
        <v>12</v>
      </c>
      <c r="Q79" s="95">
        <f t="shared" si="43"/>
        <v>156937.5</v>
      </c>
      <c r="R79" s="94">
        <f t="shared" si="8"/>
        <v>1819968.197694957</v>
      </c>
      <c r="S79" s="95">
        <f t="shared" si="44"/>
        <v>95207.086341917442</v>
      </c>
      <c r="T79" s="95">
        <f t="shared" si="9"/>
        <v>61730.413658082558</v>
      </c>
      <c r="U79" s="96">
        <v>0.606656065898319</v>
      </c>
      <c r="V79" s="254">
        <v>3000000</v>
      </c>
      <c r="W79" s="122">
        <v>174375</v>
      </c>
      <c r="X79" s="95">
        <f t="shared" si="3"/>
        <v>-1180031.802305043</v>
      </c>
      <c r="Y79" s="95">
        <f t="shared" si="3"/>
        <v>-79167.913658082558</v>
      </c>
      <c r="Z79" s="98">
        <f t="shared" si="10"/>
        <v>-1180031.802305043</v>
      </c>
      <c r="AA79" s="98">
        <f t="shared" si="10"/>
        <v>-79167.913658082558</v>
      </c>
      <c r="AB79" s="98"/>
      <c r="AC79" s="98"/>
      <c r="AD79" s="98">
        <f t="shared" si="19"/>
        <v>-79167.913658082558</v>
      </c>
      <c r="AE79" s="100">
        <v>-1362028.6220745388</v>
      </c>
      <c r="AF79" s="100">
        <f t="shared" si="45"/>
        <v>-1513365.1356383762</v>
      </c>
      <c r="AG79" s="100"/>
      <c r="AH79" s="101"/>
      <c r="AI79" s="101"/>
      <c r="AJ79" s="101"/>
      <c r="AK79" s="101"/>
      <c r="AL79" s="101"/>
      <c r="AM79" s="104">
        <f t="shared" si="11"/>
        <v>-79167.913658082558</v>
      </c>
      <c r="AN79" s="104"/>
      <c r="AO79" s="104"/>
      <c r="AP79" s="104"/>
      <c r="AQ79" s="104">
        <f t="shared" si="12"/>
        <v>-79167.913658082558</v>
      </c>
      <c r="AR79" s="104"/>
      <c r="AS79" s="104">
        <f t="shared" si="39"/>
        <v>-79167.913658082558</v>
      </c>
      <c r="AT79" s="104">
        <f t="shared" si="40"/>
        <v>0</v>
      </c>
      <c r="AU79" s="105">
        <f t="shared" si="46"/>
        <v>-1702535.7775931736</v>
      </c>
      <c r="AV79" s="106"/>
      <c r="AW79" s="106"/>
      <c r="AX79" s="107"/>
      <c r="AY79" s="107"/>
      <c r="AZ79" s="107"/>
      <c r="BA79" s="107"/>
      <c r="BB79" s="108">
        <f t="shared" si="15"/>
        <v>-1702535.7775931736</v>
      </c>
      <c r="BC79" s="108">
        <f t="shared" si="47"/>
        <v>-1945755.1743921982</v>
      </c>
      <c r="BD79" s="109"/>
      <c r="BE79" s="109"/>
      <c r="BF79" s="109"/>
      <c r="BG79" s="110">
        <f t="shared" si="48"/>
        <v>-2270047.7034575646</v>
      </c>
      <c r="BH79" s="110"/>
      <c r="BI79" s="110"/>
      <c r="BJ79" s="123">
        <f t="shared" si="42"/>
        <v>-3518573.9403592255</v>
      </c>
      <c r="BK79" s="116"/>
      <c r="BL79" s="79"/>
      <c r="BM79" s="111" t="s">
        <v>173</v>
      </c>
    </row>
    <row r="80" spans="1:66" s="112" customFormat="1" ht="25.5">
      <c r="A80" s="84">
        <f t="shared" si="49"/>
        <v>60</v>
      </c>
      <c r="B80" s="85" t="s">
        <v>174</v>
      </c>
      <c r="C80" s="86" t="s">
        <v>175</v>
      </c>
      <c r="D80" s="85" t="s">
        <v>64</v>
      </c>
      <c r="E80" s="87" t="s">
        <v>65</v>
      </c>
      <c r="F80" s="89"/>
      <c r="G80" s="89"/>
      <c r="H80" s="90">
        <v>43525</v>
      </c>
      <c r="I80" s="90">
        <v>43525</v>
      </c>
      <c r="J80" s="91">
        <v>3000000</v>
      </c>
      <c r="K80" s="92">
        <v>7.7499999999999999E-2</v>
      </c>
      <c r="L80" s="63">
        <v>7.4999999999999997E-2</v>
      </c>
      <c r="M80" s="93">
        <v>0.9</v>
      </c>
      <c r="N80" s="94">
        <v>9</v>
      </c>
      <c r="O80" s="94"/>
      <c r="P80" s="93">
        <v>12</v>
      </c>
      <c r="Q80" s="95">
        <f t="shared" si="43"/>
        <v>156937.5</v>
      </c>
      <c r="R80" s="94">
        <f t="shared" si="8"/>
        <v>1819968.197694957</v>
      </c>
      <c r="S80" s="95">
        <f t="shared" si="44"/>
        <v>95207.086341917442</v>
      </c>
      <c r="T80" s="95">
        <f t="shared" si="9"/>
        <v>61730.413658082558</v>
      </c>
      <c r="U80" s="96">
        <v>0.606656065898319</v>
      </c>
      <c r="V80" s="94"/>
      <c r="W80" s="97"/>
      <c r="X80" s="95">
        <f t="shared" si="3"/>
        <v>1819968.197694957</v>
      </c>
      <c r="Y80" s="95">
        <f t="shared" si="3"/>
        <v>95207.086341917442</v>
      </c>
      <c r="Z80" s="98">
        <f t="shared" si="10"/>
        <v>1819968.197694957</v>
      </c>
      <c r="AA80" s="98">
        <f t="shared" si="10"/>
        <v>95207.086341917442</v>
      </c>
      <c r="AB80" s="98">
        <v>94936.44</v>
      </c>
      <c r="AC80" s="98"/>
      <c r="AD80" s="98">
        <f t="shared" si="19"/>
        <v>270.64634191743971</v>
      </c>
      <c r="AE80" s="100">
        <v>-1162028.6220745386</v>
      </c>
      <c r="AF80" s="100">
        <f t="shared" si="45"/>
        <v>5173.645723630867</v>
      </c>
      <c r="AG80" s="100"/>
      <c r="AH80" s="101"/>
      <c r="AI80" s="101"/>
      <c r="AJ80" s="101"/>
      <c r="AK80" s="101"/>
      <c r="AL80" s="101"/>
      <c r="AM80" s="104">
        <f t="shared" si="11"/>
        <v>270.64634191743971</v>
      </c>
      <c r="AN80" s="104"/>
      <c r="AO80" s="104"/>
      <c r="AP80" s="104"/>
      <c r="AQ80" s="104">
        <f t="shared" si="12"/>
        <v>270.64634191743971</v>
      </c>
      <c r="AR80" s="104"/>
      <c r="AS80" s="104">
        <f t="shared" si="39"/>
        <v>270.64634191743971</v>
      </c>
      <c r="AT80" s="104">
        <f t="shared" si="40"/>
        <v>0</v>
      </c>
      <c r="AU80" s="181">
        <f t="shared" si="46"/>
        <v>5820.3514390847249</v>
      </c>
      <c r="AV80" s="106"/>
      <c r="AW80" s="106"/>
      <c r="AX80" s="107"/>
      <c r="AY80" s="107"/>
      <c r="AZ80" s="107"/>
      <c r="BA80" s="107"/>
      <c r="BB80" s="108">
        <f t="shared" si="15"/>
        <v>5820.3514390847249</v>
      </c>
      <c r="BC80" s="108">
        <f t="shared" si="47"/>
        <v>6651.8302160968278</v>
      </c>
      <c r="BD80" s="109"/>
      <c r="BE80" s="109"/>
      <c r="BF80" s="109"/>
      <c r="BG80" s="110">
        <f t="shared" si="48"/>
        <v>7760.4685854462987</v>
      </c>
      <c r="BH80" s="110"/>
      <c r="BI80" s="110">
        <f t="shared" si="41"/>
        <v>270.64634191743971</v>
      </c>
      <c r="BJ80" s="116">
        <f t="shared" si="42"/>
        <v>12028.726307441766</v>
      </c>
      <c r="BK80" s="116"/>
      <c r="BL80" s="79"/>
      <c r="BM80" s="111"/>
    </row>
    <row r="81" spans="1:67" s="112" customFormat="1" ht="25.5">
      <c r="A81" s="84">
        <f t="shared" si="49"/>
        <v>61</v>
      </c>
      <c r="B81" s="85" t="s">
        <v>176</v>
      </c>
      <c r="C81" s="86" t="s">
        <v>177</v>
      </c>
      <c r="D81" s="85" t="s">
        <v>120</v>
      </c>
      <c r="E81" s="87" t="s">
        <v>98</v>
      </c>
      <c r="F81" s="89"/>
      <c r="G81" s="89"/>
      <c r="H81" s="90">
        <v>43497</v>
      </c>
      <c r="I81" s="90">
        <v>43497</v>
      </c>
      <c r="J81" s="91">
        <v>30000000</v>
      </c>
      <c r="K81" s="92">
        <v>7.7499999999999999E-2</v>
      </c>
      <c r="L81" s="63">
        <v>7.4999999999999997E-2</v>
      </c>
      <c r="M81" s="93">
        <v>0.9</v>
      </c>
      <c r="N81" s="94">
        <v>10</v>
      </c>
      <c r="O81" s="94"/>
      <c r="P81" s="93">
        <v>12</v>
      </c>
      <c r="Q81" s="95">
        <f t="shared" si="43"/>
        <v>1743750</v>
      </c>
      <c r="R81" s="94">
        <f t="shared" si="8"/>
        <v>18199681.976949569</v>
      </c>
      <c r="S81" s="95">
        <f t="shared" si="44"/>
        <v>1057856.5149101939</v>
      </c>
      <c r="T81" s="95">
        <f t="shared" si="9"/>
        <v>685893.48508980614</v>
      </c>
      <c r="U81" s="96">
        <v>0.606656065898319</v>
      </c>
      <c r="V81" s="94"/>
      <c r="W81" s="97"/>
      <c r="X81" s="95">
        <f t="shared" si="3"/>
        <v>18199681.976949569</v>
      </c>
      <c r="Y81" s="95">
        <f t="shared" si="3"/>
        <v>1057856.5149101939</v>
      </c>
      <c r="Z81" s="98">
        <f t="shared" si="10"/>
        <v>18199681.976949569</v>
      </c>
      <c r="AA81" s="98">
        <f t="shared" si="10"/>
        <v>1057856.5149101939</v>
      </c>
      <c r="AB81" s="98">
        <f>1743749.99-AB82</f>
        <v>1057856.51</v>
      </c>
      <c r="AC81" s="98"/>
      <c r="AD81" s="98">
        <f t="shared" si="19"/>
        <v>4.9101938493549824E-3</v>
      </c>
      <c r="AE81" s="100">
        <v>3062755.5914583802</v>
      </c>
      <c r="AF81" s="100">
        <f t="shared" si="45"/>
        <v>9.3862725913595846E-2</v>
      </c>
      <c r="AG81" s="100"/>
      <c r="AH81" s="101"/>
      <c r="AI81" s="101"/>
      <c r="AJ81" s="101"/>
      <c r="AK81" s="101"/>
      <c r="AL81" s="101"/>
      <c r="AM81" s="104">
        <f t="shared" si="11"/>
        <v>4.9101938493549824E-3</v>
      </c>
      <c r="AN81" s="104"/>
      <c r="AO81" s="104"/>
      <c r="AP81" s="104"/>
      <c r="AQ81" s="104">
        <f t="shared" si="12"/>
        <v>4.9101938493549824E-3</v>
      </c>
      <c r="AR81" s="104"/>
      <c r="AS81" s="104">
        <f t="shared" si="39"/>
        <v>4.9101938493549824E-3</v>
      </c>
      <c r="AT81" s="104">
        <f t="shared" si="40"/>
        <v>0</v>
      </c>
      <c r="AU81" s="181">
        <f t="shared" si="46"/>
        <v>0.10559556665279532</v>
      </c>
      <c r="AV81" s="106"/>
      <c r="AW81" s="106"/>
      <c r="AX81" s="107"/>
      <c r="AY81" s="107"/>
      <c r="AZ81" s="107"/>
      <c r="BA81" s="107"/>
      <c r="BB81" s="108">
        <f t="shared" si="15"/>
        <v>0.10559556665279532</v>
      </c>
      <c r="BC81" s="108">
        <f t="shared" si="47"/>
        <v>0.12068064760319466</v>
      </c>
      <c r="BD81" s="109"/>
      <c r="BE81" s="109"/>
      <c r="BF81" s="109"/>
      <c r="BG81" s="110">
        <f t="shared" si="48"/>
        <v>0.14079408887039377</v>
      </c>
      <c r="BH81" s="110"/>
      <c r="BI81" s="110">
        <f t="shared" si="41"/>
        <v>4.9101938493549824E-3</v>
      </c>
      <c r="BJ81" s="116">
        <f t="shared" si="42"/>
        <v>0.21823083774911034</v>
      </c>
      <c r="BK81" s="116"/>
      <c r="BL81" s="79"/>
      <c r="BM81" s="111"/>
    </row>
    <row r="82" spans="1:67" s="5" customFormat="1" ht="38.25">
      <c r="A82" s="126">
        <f t="shared" si="49"/>
        <v>62</v>
      </c>
      <c r="B82" s="127" t="s">
        <v>176</v>
      </c>
      <c r="C82" s="140" t="s">
        <v>177</v>
      </c>
      <c r="D82" s="127" t="s">
        <v>120</v>
      </c>
      <c r="E82" s="141" t="s">
        <v>98</v>
      </c>
      <c r="F82" s="127"/>
      <c r="G82" s="127"/>
      <c r="H82" s="129">
        <v>43586</v>
      </c>
      <c r="I82" s="129">
        <v>43586</v>
      </c>
      <c r="J82" s="130">
        <v>35000000</v>
      </c>
      <c r="K82" s="142">
        <v>7.7499999999999999E-2</v>
      </c>
      <c r="L82" s="63">
        <v>7.4999999999999997E-2</v>
      </c>
      <c r="M82" s="133">
        <v>0.9</v>
      </c>
      <c r="N82" s="131">
        <v>7</v>
      </c>
      <c r="O82" s="131">
        <v>4</v>
      </c>
      <c r="P82" s="133">
        <v>12</v>
      </c>
      <c r="Q82" s="131">
        <f t="shared" si="43"/>
        <v>1424062.5</v>
      </c>
      <c r="R82" s="131">
        <f t="shared" si="8"/>
        <v>21232962.306441166</v>
      </c>
      <c r="S82" s="131">
        <f t="shared" si="44"/>
        <v>863916.15384332498</v>
      </c>
      <c r="T82" s="131">
        <f t="shared" si="9"/>
        <v>560146.34615667502</v>
      </c>
      <c r="U82" s="132">
        <v>0.606656065898319</v>
      </c>
      <c r="V82" s="131"/>
      <c r="W82" s="133"/>
      <c r="X82" s="131">
        <f t="shared" si="3"/>
        <v>21232962.306441166</v>
      </c>
      <c r="Y82" s="131">
        <f t="shared" si="3"/>
        <v>863916.15384332498</v>
      </c>
      <c r="Z82" s="134">
        <f t="shared" si="10"/>
        <v>21232962.306441166</v>
      </c>
      <c r="AA82" s="134">
        <f t="shared" si="10"/>
        <v>863916.15384332498</v>
      </c>
      <c r="AB82" s="146">
        <v>685893.48</v>
      </c>
      <c r="AC82" s="146"/>
      <c r="AD82" s="134">
        <f t="shared" si="19"/>
        <v>178022.673843325</v>
      </c>
      <c r="AE82" s="135">
        <v>0</v>
      </c>
      <c r="AF82" s="135">
        <f t="shared" si="45"/>
        <v>3403061.8655832731</v>
      </c>
      <c r="AG82" s="135"/>
      <c r="AH82" s="70"/>
      <c r="AI82" s="70"/>
      <c r="AJ82" s="70"/>
      <c r="AK82" s="70"/>
      <c r="AL82" s="71"/>
      <c r="AM82" s="69">
        <f t="shared" si="11"/>
        <v>178022.673843325</v>
      </c>
      <c r="AN82" s="69"/>
      <c r="AO82" s="69"/>
      <c r="AP82" s="69"/>
      <c r="AQ82" s="69">
        <f t="shared" si="12"/>
        <v>178022.673843325</v>
      </c>
      <c r="AR82" s="69">
        <v>143550</v>
      </c>
      <c r="AS82" s="69">
        <f t="shared" si="39"/>
        <v>34472.673843324999</v>
      </c>
      <c r="AT82" s="69">
        <f t="shared" si="40"/>
        <v>34472.673900000002</v>
      </c>
      <c r="AU82" s="136">
        <f t="shared" si="46"/>
        <v>3828444.5987811824</v>
      </c>
      <c r="AV82" s="136"/>
      <c r="AW82" s="136"/>
      <c r="AX82" s="74"/>
      <c r="AY82" s="74"/>
      <c r="AZ82" s="74"/>
      <c r="BA82" s="75"/>
      <c r="BB82" s="76">
        <f t="shared" si="15"/>
        <v>3828444.5987811824</v>
      </c>
      <c r="BC82" s="76">
        <f t="shared" si="47"/>
        <v>4375365.2557499222</v>
      </c>
      <c r="BD82" s="138"/>
      <c r="BE82" s="138"/>
      <c r="BF82" s="138"/>
      <c r="BG82" s="78">
        <f t="shared" si="48"/>
        <v>5104592.7983749099</v>
      </c>
      <c r="BH82" s="78">
        <v>5104000</v>
      </c>
      <c r="BI82" s="78">
        <f t="shared" si="41"/>
        <v>-5.6675002269912511E-5</v>
      </c>
      <c r="BJ82" s="79">
        <f t="shared" si="42"/>
        <v>1532118.8374811113</v>
      </c>
      <c r="BK82" s="79">
        <v>1532118.84</v>
      </c>
      <c r="BL82" s="143">
        <v>60104000</v>
      </c>
      <c r="BM82" s="144" t="s">
        <v>99</v>
      </c>
      <c r="BN82" s="255" t="s">
        <v>76</v>
      </c>
      <c r="BO82" s="377">
        <v>5104000</v>
      </c>
    </row>
    <row r="83" spans="1:67" s="112" customFormat="1" ht="25.5">
      <c r="A83" s="84">
        <f t="shared" si="49"/>
        <v>63</v>
      </c>
      <c r="B83" s="85" t="s">
        <v>178</v>
      </c>
      <c r="C83" s="86" t="s">
        <v>179</v>
      </c>
      <c r="D83" s="85" t="s">
        <v>64</v>
      </c>
      <c r="E83" s="87" t="s">
        <v>98</v>
      </c>
      <c r="F83" s="89"/>
      <c r="G83" s="89"/>
      <c r="H83" s="90">
        <v>43497</v>
      </c>
      <c r="I83" s="90">
        <v>43497</v>
      </c>
      <c r="J83" s="91">
        <v>12000000</v>
      </c>
      <c r="K83" s="92">
        <v>7.7499999999999999E-2</v>
      </c>
      <c r="L83" s="63">
        <v>7.4999999999999997E-2</v>
      </c>
      <c r="M83" s="93">
        <v>0.9</v>
      </c>
      <c r="N83" s="94">
        <v>10</v>
      </c>
      <c r="O83" s="94"/>
      <c r="P83" s="93">
        <v>12</v>
      </c>
      <c r="Q83" s="95">
        <f t="shared" si="43"/>
        <v>697500</v>
      </c>
      <c r="R83" s="94">
        <f t="shared" si="8"/>
        <v>7279872.7907798281</v>
      </c>
      <c r="S83" s="95">
        <f t="shared" si="44"/>
        <v>423142.60596407746</v>
      </c>
      <c r="T83" s="95">
        <f t="shared" si="9"/>
        <v>274357.39403592254</v>
      </c>
      <c r="U83" s="96">
        <v>0.606656065898319</v>
      </c>
      <c r="V83" s="94"/>
      <c r="W83" s="97"/>
      <c r="X83" s="95">
        <f t="shared" si="3"/>
        <v>7279872.7907798281</v>
      </c>
      <c r="Y83" s="95">
        <f t="shared" si="3"/>
        <v>423142.60596407746</v>
      </c>
      <c r="Z83" s="98">
        <f t="shared" si="10"/>
        <v>7279872.7907798281</v>
      </c>
      <c r="AA83" s="98">
        <f t="shared" si="10"/>
        <v>423142.60596407746</v>
      </c>
      <c r="AB83" s="98">
        <f>871874.98-AB84-AB85</f>
        <v>423142.61</v>
      </c>
      <c r="AC83" s="98"/>
      <c r="AD83" s="98">
        <f t="shared" si="19"/>
        <v>-4.0359225240536034E-3</v>
      </c>
      <c r="AE83" s="100">
        <v>45070.434278307483</v>
      </c>
      <c r="AF83" s="100">
        <f t="shared" si="45"/>
        <v>-7.7150251355863383E-2</v>
      </c>
      <c r="AG83" s="100"/>
      <c r="AH83" s="101"/>
      <c r="AI83" s="101"/>
      <c r="AJ83" s="101"/>
      <c r="AK83" s="101"/>
      <c r="AL83" s="101"/>
      <c r="AM83" s="104">
        <f t="shared" si="11"/>
        <v>-4.0359225240536034E-3</v>
      </c>
      <c r="AN83" s="104"/>
      <c r="AO83" s="104"/>
      <c r="AP83" s="104"/>
      <c r="AQ83" s="104">
        <f t="shared" si="12"/>
        <v>-4.0359225240536034E-3</v>
      </c>
      <c r="AR83" s="104"/>
      <c r="AS83" s="104">
        <f t="shared" si="39"/>
        <v>-4.0359225240536034E-3</v>
      </c>
      <c r="AT83" s="104">
        <f t="shared" si="40"/>
        <v>0</v>
      </c>
      <c r="AU83" s="105">
        <f t="shared" si="46"/>
        <v>-8.6794032775346308E-2</v>
      </c>
      <c r="AV83" s="106"/>
      <c r="AW83" s="106"/>
      <c r="AX83" s="107"/>
      <c r="AY83" s="107"/>
      <c r="AZ83" s="107"/>
      <c r="BA83" s="107"/>
      <c r="BB83" s="108">
        <f t="shared" si="15"/>
        <v>-8.6794032775346308E-2</v>
      </c>
      <c r="BC83" s="108">
        <f t="shared" si="47"/>
        <v>-9.9193180314681481E-2</v>
      </c>
      <c r="BD83" s="109"/>
      <c r="BE83" s="109"/>
      <c r="BF83" s="109"/>
      <c r="BG83" s="110">
        <f t="shared" si="48"/>
        <v>-0.11572537703379507</v>
      </c>
      <c r="BH83" s="110"/>
      <c r="BI83" s="110">
        <f t="shared" si="41"/>
        <v>-4.0359225240536034E-3</v>
      </c>
      <c r="BJ83" s="116">
        <f t="shared" si="42"/>
        <v>-0.17937433440238237</v>
      </c>
      <c r="BK83" s="116"/>
      <c r="BL83" s="79"/>
      <c r="BM83" s="111"/>
    </row>
    <row r="84" spans="1:67" s="185" customFormat="1" ht="25.5">
      <c r="A84" s="171">
        <f t="shared" si="49"/>
        <v>64</v>
      </c>
      <c r="B84" s="87" t="s">
        <v>178</v>
      </c>
      <c r="C84" s="172" t="s">
        <v>179</v>
      </c>
      <c r="D84" s="87" t="s">
        <v>120</v>
      </c>
      <c r="E84" s="87" t="s">
        <v>98</v>
      </c>
      <c r="F84" s="87"/>
      <c r="G84" s="87"/>
      <c r="H84" s="174">
        <v>43525</v>
      </c>
      <c r="I84" s="174">
        <v>43525</v>
      </c>
      <c r="J84" s="175">
        <v>12000000</v>
      </c>
      <c r="K84" s="121">
        <v>7.7499999999999999E-2</v>
      </c>
      <c r="L84" s="121">
        <v>7.4999999999999997E-2</v>
      </c>
      <c r="M84" s="176">
        <v>0.9</v>
      </c>
      <c r="N84" s="177">
        <v>9</v>
      </c>
      <c r="O84" s="177">
        <v>0</v>
      </c>
      <c r="P84" s="176">
        <v>12</v>
      </c>
      <c r="Q84" s="177">
        <f t="shared" si="43"/>
        <v>627750</v>
      </c>
      <c r="R84" s="177">
        <f t="shared" si="8"/>
        <v>7279872.7907798281</v>
      </c>
      <c r="S84" s="177">
        <f t="shared" si="44"/>
        <v>380828.34536766977</v>
      </c>
      <c r="T84" s="177">
        <f t="shared" si="9"/>
        <v>246921.65463233023</v>
      </c>
      <c r="U84" s="178">
        <v>0.606656065898319</v>
      </c>
      <c r="V84" s="177"/>
      <c r="W84" s="176"/>
      <c r="X84" s="177">
        <f t="shared" si="3"/>
        <v>7279872.7907798281</v>
      </c>
      <c r="Y84" s="177">
        <f t="shared" si="3"/>
        <v>380828.34536766977</v>
      </c>
      <c r="Z84" s="179">
        <f t="shared" si="10"/>
        <v>7279872.7907798281</v>
      </c>
      <c r="AA84" s="179">
        <f t="shared" si="10"/>
        <v>380828.34536766977</v>
      </c>
      <c r="AB84" s="256">
        <v>378208.6</v>
      </c>
      <c r="AC84" s="256"/>
      <c r="AD84" s="179">
        <f t="shared" si="19"/>
        <v>2619.7453676697914</v>
      </c>
      <c r="AE84" s="180">
        <v>0</v>
      </c>
      <c r="AF84" s="180">
        <f t="shared" si="45"/>
        <v>50078.764495479889</v>
      </c>
      <c r="AG84" s="180"/>
      <c r="AH84" s="104"/>
      <c r="AI84" s="104"/>
      <c r="AJ84" s="104"/>
      <c r="AK84" s="104"/>
      <c r="AL84" s="104"/>
      <c r="AM84" s="104">
        <f t="shared" si="11"/>
        <v>2619.7453676697914</v>
      </c>
      <c r="AN84" s="104"/>
      <c r="AO84" s="104"/>
      <c r="AP84" s="104"/>
      <c r="AQ84" s="104">
        <f t="shared" ref="AQ84:AQ167" si="50">AM84-AN84-AO84-AP84</f>
        <v>2619.7453676697914</v>
      </c>
      <c r="AR84" s="104"/>
      <c r="AS84" s="104">
        <f t="shared" si="39"/>
        <v>2619.7453676697914</v>
      </c>
      <c r="AT84" s="104">
        <f t="shared" si="40"/>
        <v>0</v>
      </c>
      <c r="AU84" s="181">
        <f t="shared" si="46"/>
        <v>56338.610057414873</v>
      </c>
      <c r="AV84" s="181"/>
      <c r="AW84" s="181"/>
      <c r="AX84" s="182"/>
      <c r="AY84" s="182"/>
      <c r="AZ84" s="182"/>
      <c r="BA84" s="182"/>
      <c r="BB84" s="108">
        <f t="shared" si="15"/>
        <v>56338.610057414873</v>
      </c>
      <c r="BC84" s="108">
        <f t="shared" si="47"/>
        <v>64386.982922759853</v>
      </c>
      <c r="BD84" s="183"/>
      <c r="BE84" s="183"/>
      <c r="BF84" s="183"/>
      <c r="BG84" s="110">
        <f t="shared" si="48"/>
        <v>75118.146743219826</v>
      </c>
      <c r="BH84" s="110"/>
      <c r="BI84" s="110">
        <f t="shared" si="41"/>
        <v>2619.7453676697914</v>
      </c>
      <c r="BJ84" s="116">
        <f t="shared" si="42"/>
        <v>116433.12745199073</v>
      </c>
      <c r="BK84" s="116"/>
      <c r="BL84" s="116"/>
      <c r="BM84" s="184"/>
    </row>
    <row r="85" spans="1:67" s="112" customFormat="1" ht="25.5">
      <c r="A85" s="84">
        <f t="shared" si="49"/>
        <v>65</v>
      </c>
      <c r="B85" s="85" t="s">
        <v>178</v>
      </c>
      <c r="C85" s="86" t="s">
        <v>179</v>
      </c>
      <c r="D85" s="85" t="s">
        <v>64</v>
      </c>
      <c r="E85" s="87" t="s">
        <v>98</v>
      </c>
      <c r="F85" s="89"/>
      <c r="G85" s="89"/>
      <c r="H85" s="90">
        <v>43739</v>
      </c>
      <c r="I85" s="90">
        <v>43739</v>
      </c>
      <c r="J85" s="91">
        <v>10000000</v>
      </c>
      <c r="K85" s="92">
        <v>7.7499999999999999E-2</v>
      </c>
      <c r="L85" s="63">
        <v>7.4999999999999997E-2</v>
      </c>
      <c r="M85" s="93">
        <v>0.9</v>
      </c>
      <c r="N85" s="94">
        <v>2</v>
      </c>
      <c r="O85" s="94"/>
      <c r="P85" s="93">
        <v>12</v>
      </c>
      <c r="Q85" s="95">
        <f t="shared" si="43"/>
        <v>116250</v>
      </c>
      <c r="R85" s="94">
        <f t="shared" si="8"/>
        <v>6066560.6589831896</v>
      </c>
      <c r="S85" s="95">
        <f t="shared" si="44"/>
        <v>70523.767660679572</v>
      </c>
      <c r="T85" s="95">
        <f t="shared" si="9"/>
        <v>45726.232339320428</v>
      </c>
      <c r="U85" s="96">
        <v>0.606656065898319</v>
      </c>
      <c r="V85" s="95"/>
      <c r="W85" s="97"/>
      <c r="X85" s="95">
        <f t="shared" ref="X85:Y171" si="51">R85-V85</f>
        <v>6066560.6589831896</v>
      </c>
      <c r="Y85" s="95">
        <f t="shared" si="51"/>
        <v>70523.767660679572</v>
      </c>
      <c r="Z85" s="98">
        <f t="shared" ref="Z85:AA171" si="52">SUM(X85)</f>
        <v>6066560.6589831896</v>
      </c>
      <c r="AA85" s="98">
        <f t="shared" si="52"/>
        <v>70523.767660679572</v>
      </c>
      <c r="AB85" s="115">
        <v>70523.77</v>
      </c>
      <c r="AC85" s="115"/>
      <c r="AD85" s="98">
        <f t="shared" si="19"/>
        <v>-2.3393204319290817E-3</v>
      </c>
      <c r="AE85" s="100">
        <v>0</v>
      </c>
      <c r="AF85" s="100">
        <f t="shared" si="45"/>
        <v>-4.4718192247150901E-2</v>
      </c>
      <c r="AG85" s="100"/>
      <c r="AH85" s="101"/>
      <c r="AI85" s="101"/>
      <c r="AJ85" s="101"/>
      <c r="AK85" s="101"/>
      <c r="AL85" s="101"/>
      <c r="AM85" s="104">
        <f t="shared" ref="AM85:AM168" si="53">AD85+AH85-AG85-AI85-AJ85-AK85-AL85</f>
        <v>-2.3393204319290817E-3</v>
      </c>
      <c r="AN85" s="104"/>
      <c r="AO85" s="104"/>
      <c r="AP85" s="104"/>
      <c r="AQ85" s="104">
        <f t="shared" si="50"/>
        <v>-2.3393204319290817E-3</v>
      </c>
      <c r="AR85" s="104"/>
      <c r="AS85" s="104">
        <f t="shared" si="39"/>
        <v>-2.3393204319290817E-3</v>
      </c>
      <c r="AT85" s="104">
        <f t="shared" si="40"/>
        <v>0</v>
      </c>
      <c r="AU85" s="105">
        <f t="shared" si="46"/>
        <v>-5.0307966278044763E-2</v>
      </c>
      <c r="AV85" s="106"/>
      <c r="AW85" s="106"/>
      <c r="AX85" s="107"/>
      <c r="AY85" s="107"/>
      <c r="AZ85" s="107"/>
      <c r="BA85" s="107"/>
      <c r="BB85" s="108">
        <f t="shared" ref="BB85:BB168" si="54">AU85-AV85+AW85-AX85-AY85-AZ85-BA85</f>
        <v>-5.0307966278044763E-2</v>
      </c>
      <c r="BC85" s="108">
        <f t="shared" si="47"/>
        <v>-5.7494818603479728E-2</v>
      </c>
      <c r="BD85" s="109"/>
      <c r="BE85" s="109"/>
      <c r="BF85" s="109"/>
      <c r="BG85" s="110">
        <f t="shared" si="48"/>
        <v>-6.7077288370726351E-2</v>
      </c>
      <c r="BH85" s="110"/>
      <c r="BI85" s="110">
        <f t="shared" si="41"/>
        <v>-2.3393204319290817E-3</v>
      </c>
      <c r="BJ85" s="116">
        <f t="shared" si="42"/>
        <v>-0.10396979697462586</v>
      </c>
      <c r="BK85" s="116"/>
      <c r="BL85" s="79"/>
      <c r="BM85" s="111"/>
    </row>
    <row r="86" spans="1:67" s="170" customFormat="1" ht="25.5" hidden="1">
      <c r="A86" s="150"/>
      <c r="B86" s="151" t="s">
        <v>178</v>
      </c>
      <c r="C86" s="152" t="s">
        <v>179</v>
      </c>
      <c r="D86" s="153"/>
      <c r="E86" s="127"/>
      <c r="F86" s="153"/>
      <c r="G86" s="153"/>
      <c r="H86" s="155"/>
      <c r="I86" s="155"/>
      <c r="J86" s="156"/>
      <c r="K86" s="157"/>
      <c r="L86" s="63">
        <v>7.4999999999999997E-2</v>
      </c>
      <c r="M86" s="64">
        <v>0.9</v>
      </c>
      <c r="N86" s="65">
        <v>10</v>
      </c>
      <c r="O86" s="65">
        <v>4</v>
      </c>
      <c r="P86" s="64">
        <v>12</v>
      </c>
      <c r="Q86" s="158"/>
      <c r="R86" s="158"/>
      <c r="S86" s="158"/>
      <c r="T86" s="158"/>
      <c r="U86" s="159"/>
      <c r="V86" s="158"/>
      <c r="W86" s="160"/>
      <c r="X86" s="158"/>
      <c r="Y86" s="158"/>
      <c r="Z86" s="161"/>
      <c r="AA86" s="161"/>
      <c r="AB86" s="162"/>
      <c r="AC86" s="162"/>
      <c r="AD86" s="161"/>
      <c r="AE86" s="163"/>
      <c r="AF86" s="163"/>
      <c r="AG86" s="163"/>
      <c r="AH86" s="102"/>
      <c r="AI86" s="102"/>
      <c r="AJ86" s="102"/>
      <c r="AK86" s="102"/>
      <c r="AL86" s="102"/>
      <c r="AM86" s="70"/>
      <c r="AN86" s="70"/>
      <c r="AO86" s="70"/>
      <c r="AP86" s="70"/>
      <c r="AQ86" s="70"/>
      <c r="AR86" s="70"/>
      <c r="AS86" s="69">
        <f t="shared" si="39"/>
        <v>0</v>
      </c>
      <c r="AT86" s="69">
        <f t="shared" si="40"/>
        <v>0</v>
      </c>
      <c r="AU86" s="164"/>
      <c r="AV86" s="165"/>
      <c r="AW86" s="165"/>
      <c r="AX86" s="166"/>
      <c r="AY86" s="166"/>
      <c r="AZ86" s="166"/>
      <c r="BA86" s="166"/>
      <c r="BB86" s="137"/>
      <c r="BC86" s="137"/>
      <c r="BD86" s="167"/>
      <c r="BE86" s="167"/>
      <c r="BF86" s="167"/>
      <c r="BG86" s="168"/>
      <c r="BH86" s="168"/>
      <c r="BI86" s="78">
        <f t="shared" si="41"/>
        <v>0</v>
      </c>
      <c r="BJ86" s="79">
        <f t="shared" si="42"/>
        <v>0</v>
      </c>
      <c r="BK86" s="79"/>
      <c r="BL86" s="169">
        <v>10000000</v>
      </c>
      <c r="BM86" s="257" t="s">
        <v>99</v>
      </c>
      <c r="BN86" s="258" t="s">
        <v>180</v>
      </c>
    </row>
    <row r="87" spans="1:67" s="81" customFormat="1" ht="25.5">
      <c r="A87" s="56">
        <f>A85+1</f>
        <v>66</v>
      </c>
      <c r="B87" s="57" t="s">
        <v>181</v>
      </c>
      <c r="C87" s="58" t="s">
        <v>182</v>
      </c>
      <c r="D87" s="57" t="s">
        <v>64</v>
      </c>
      <c r="E87" s="57" t="s">
        <v>65</v>
      </c>
      <c r="F87" s="57"/>
      <c r="G87" s="57"/>
      <c r="H87" s="60">
        <v>43497</v>
      </c>
      <c r="I87" s="61" t="s">
        <v>94</v>
      </c>
      <c r="J87" s="62">
        <v>25000000</v>
      </c>
      <c r="K87" s="63">
        <v>7.7499999999999999E-2</v>
      </c>
      <c r="L87" s="63">
        <v>7.4999999999999997E-2</v>
      </c>
      <c r="M87" s="64">
        <v>0.9</v>
      </c>
      <c r="N87" s="65">
        <v>10</v>
      </c>
      <c r="O87" s="65">
        <v>4</v>
      </c>
      <c r="P87" s="64">
        <v>12</v>
      </c>
      <c r="Q87" s="65">
        <f>J87*K87*M87*N87/P87</f>
        <v>1453125</v>
      </c>
      <c r="R87" s="65">
        <f t="shared" ref="R87:R172" si="55">J87*0.606656065898319</f>
        <v>15166401.647457974</v>
      </c>
      <c r="S87" s="65">
        <f>R87*K87*M87*N87/P87</f>
        <v>881547.09575849457</v>
      </c>
      <c r="T87" s="65">
        <f t="shared" ref="T87:T172" si="56">Q87-S87</f>
        <v>571577.90424150543</v>
      </c>
      <c r="U87" s="66">
        <v>0.606656065898319</v>
      </c>
      <c r="V87" s="65"/>
      <c r="W87" s="64"/>
      <c r="X87" s="65">
        <f t="shared" si="51"/>
        <v>15166401.647457974</v>
      </c>
      <c r="Y87" s="65">
        <f t="shared" si="51"/>
        <v>881547.09575849457</v>
      </c>
      <c r="Z87" s="67">
        <f t="shared" si="52"/>
        <v>15166401.647457974</v>
      </c>
      <c r="AA87" s="67">
        <f t="shared" si="52"/>
        <v>881547.09575849457</v>
      </c>
      <c r="AB87" s="67">
        <v>871875</v>
      </c>
      <c r="AC87" s="67"/>
      <c r="AD87" s="67">
        <f t="shared" si="19"/>
        <v>9672.0957584945718</v>
      </c>
      <c r="AE87" s="68">
        <v>166401.64745797031</v>
      </c>
      <c r="AF87" s="68">
        <f>AD87/K87/M87/9*P87</f>
        <v>184890.71939774568</v>
      </c>
      <c r="AG87" s="68"/>
      <c r="AH87" s="69"/>
      <c r="AI87" s="69"/>
      <c r="AJ87" s="70"/>
      <c r="AK87" s="70"/>
      <c r="AL87" s="71"/>
      <c r="AM87" s="69">
        <f t="shared" si="53"/>
        <v>9672.0957584945718</v>
      </c>
      <c r="AN87" s="69"/>
      <c r="AO87" s="69"/>
      <c r="AP87" s="69"/>
      <c r="AQ87" s="69">
        <f t="shared" si="50"/>
        <v>9672.0957584945718</v>
      </c>
      <c r="AR87" s="69"/>
      <c r="AS87" s="69">
        <f t="shared" si="39"/>
        <v>9672.0957584945718</v>
      </c>
      <c r="AT87" s="69">
        <f t="shared" si="40"/>
        <v>9672.0956999999999</v>
      </c>
      <c r="AU87" s="72">
        <f>AD87/K87/M87/8*P87</f>
        <v>208002.05932246387</v>
      </c>
      <c r="AV87" s="72"/>
      <c r="AW87" s="72"/>
      <c r="AX87" s="73"/>
      <c r="AY87" s="74"/>
      <c r="AZ87" s="74"/>
      <c r="BA87" s="75"/>
      <c r="BB87" s="76">
        <f t="shared" si="54"/>
        <v>208002.05932246387</v>
      </c>
      <c r="BC87" s="76">
        <f>AM87/K87/M87/7*P87</f>
        <v>237716.63922567305</v>
      </c>
      <c r="BD87" s="77"/>
      <c r="BE87" s="77"/>
      <c r="BF87" s="77"/>
      <c r="BG87" s="78">
        <f>AQ87/K87/M87/6*P87</f>
        <v>277336.07909661852</v>
      </c>
      <c r="BH87" s="78"/>
      <c r="BI87" s="78">
        <f t="shared" si="41"/>
        <v>5.8494571931078099E-5</v>
      </c>
      <c r="BJ87" s="79">
        <f t="shared" si="42"/>
        <v>429870.92259975878</v>
      </c>
      <c r="BK87" s="79">
        <v>429870.92</v>
      </c>
      <c r="BL87" s="79">
        <v>10000000</v>
      </c>
      <c r="BM87" s="80"/>
      <c r="BN87" s="81" t="s">
        <v>64</v>
      </c>
    </row>
    <row r="88" spans="1:67" s="185" customFormat="1" ht="25.5">
      <c r="A88" s="171">
        <f>A87+1</f>
        <v>67</v>
      </c>
      <c r="B88" s="87" t="s">
        <v>183</v>
      </c>
      <c r="C88" s="172" t="s">
        <v>184</v>
      </c>
      <c r="D88" s="87" t="s">
        <v>64</v>
      </c>
      <c r="E88" s="87" t="s">
        <v>65</v>
      </c>
      <c r="F88" s="87"/>
      <c r="G88" s="87"/>
      <c r="H88" s="174">
        <v>43497</v>
      </c>
      <c r="I88" s="174" t="s">
        <v>66</v>
      </c>
      <c r="J88" s="175">
        <v>130000000</v>
      </c>
      <c r="K88" s="121">
        <v>7.7499999999999999E-2</v>
      </c>
      <c r="L88" s="121">
        <v>7.4999999999999997E-2</v>
      </c>
      <c r="M88" s="176">
        <v>0.9</v>
      </c>
      <c r="N88" s="177">
        <v>10</v>
      </c>
      <c r="O88" s="177"/>
      <c r="P88" s="176">
        <v>12</v>
      </c>
      <c r="Q88" s="177">
        <f>J88*K88*M88*N88/P88</f>
        <v>7556250</v>
      </c>
      <c r="R88" s="177">
        <f t="shared" si="55"/>
        <v>78865288.566781476</v>
      </c>
      <c r="S88" s="177">
        <f>R88*K88*M88*N88/P88</f>
        <v>4584044.8979441728</v>
      </c>
      <c r="T88" s="177">
        <f t="shared" si="56"/>
        <v>2972205.1020558272</v>
      </c>
      <c r="U88" s="178">
        <v>0.606656065898319</v>
      </c>
      <c r="V88" s="259">
        <v>50000000</v>
      </c>
      <c r="W88" s="260">
        <v>2906250</v>
      </c>
      <c r="X88" s="177">
        <f t="shared" si="51"/>
        <v>28865288.566781476</v>
      </c>
      <c r="Y88" s="177">
        <f t="shared" si="51"/>
        <v>1677794.8979441728</v>
      </c>
      <c r="Z88" s="179">
        <f t="shared" si="52"/>
        <v>28865288.566781476</v>
      </c>
      <c r="AA88" s="179">
        <f t="shared" si="52"/>
        <v>1677794.8979441728</v>
      </c>
      <c r="AB88" s="179"/>
      <c r="AC88" s="179"/>
      <c r="AD88" s="179">
        <f t="shared" si="19"/>
        <v>1677794.8979441728</v>
      </c>
      <c r="AE88" s="180">
        <v>40998409.884747848</v>
      </c>
      <c r="AF88" s="180">
        <f>AD88/K88/M88/9*P88</f>
        <v>32072542.851979405</v>
      </c>
      <c r="AG88" s="180"/>
      <c r="AH88" s="104"/>
      <c r="AI88" s="104"/>
      <c r="AJ88" s="104"/>
      <c r="AK88" s="104"/>
      <c r="AL88" s="104"/>
      <c r="AM88" s="104">
        <f t="shared" si="53"/>
        <v>1677794.8979441728</v>
      </c>
      <c r="AN88" s="104"/>
      <c r="AO88" s="261">
        <v>1677794.9</v>
      </c>
      <c r="AP88" s="262"/>
      <c r="AQ88" s="104">
        <f t="shared" si="50"/>
        <v>-2.0558270625770092E-3</v>
      </c>
      <c r="AR88" s="104"/>
      <c r="AS88" s="69">
        <f t="shared" si="39"/>
        <v>-2.0558270625770092E-3</v>
      </c>
      <c r="AT88" s="104">
        <f t="shared" si="40"/>
        <v>0</v>
      </c>
      <c r="AU88" s="181">
        <f>AD88/K88/M88/8*P88</f>
        <v>36081610.708476827</v>
      </c>
      <c r="AV88" s="181"/>
      <c r="AW88" s="181"/>
      <c r="AX88" s="182"/>
      <c r="AY88" s="182"/>
      <c r="AZ88" s="182"/>
      <c r="BA88" s="182"/>
      <c r="BB88" s="108">
        <f t="shared" si="54"/>
        <v>36081610.708476827</v>
      </c>
      <c r="BC88" s="108">
        <f>AM88/K88/M88/7*P88</f>
        <v>41236126.523973525</v>
      </c>
      <c r="BD88" s="183"/>
      <c r="BE88" s="263">
        <f>AO88/7.75%/0.9/6*12</f>
        <v>48108814.336917557</v>
      </c>
      <c r="BF88" s="183"/>
      <c r="BG88" s="110">
        <f>AQ88/K88/M88/6*P88</f>
        <v>-5.8948446238767285E-2</v>
      </c>
      <c r="BH88" s="110"/>
      <c r="BI88" s="110">
        <f t="shared" si="41"/>
        <v>-2.0558270625770092E-3</v>
      </c>
      <c r="BJ88" s="116">
        <f t="shared" si="42"/>
        <v>-9.1370091670089304E-2</v>
      </c>
      <c r="BK88" s="116"/>
      <c r="BL88" s="79"/>
      <c r="BM88" s="184"/>
    </row>
    <row r="89" spans="1:67" s="81" customFormat="1" ht="25.5">
      <c r="A89" s="56">
        <f t="shared" ref="A89:A151" si="57">A88+1</f>
        <v>68</v>
      </c>
      <c r="B89" s="57" t="s">
        <v>183</v>
      </c>
      <c r="C89" s="58" t="s">
        <v>184</v>
      </c>
      <c r="D89" s="117" t="s">
        <v>185</v>
      </c>
      <c r="E89" s="57" t="s">
        <v>65</v>
      </c>
      <c r="F89" s="57"/>
      <c r="G89" s="57"/>
      <c r="H89" s="60">
        <v>43497</v>
      </c>
      <c r="I89" s="61" t="s">
        <v>66</v>
      </c>
      <c r="J89" s="62">
        <v>20000000</v>
      </c>
      <c r="K89" s="63">
        <v>7.7499999999999999E-2</v>
      </c>
      <c r="L89" s="63">
        <v>7.4999999999999997E-2</v>
      </c>
      <c r="M89" s="64">
        <v>0.9</v>
      </c>
      <c r="N89" s="65">
        <v>10</v>
      </c>
      <c r="O89" s="65">
        <v>4</v>
      </c>
      <c r="P89" s="64">
        <v>12</v>
      </c>
      <c r="Q89" s="65">
        <f>J89*K89*M89*N89/P89</f>
        <v>1162500</v>
      </c>
      <c r="R89" s="65">
        <f t="shared" si="55"/>
        <v>12133121.317966379</v>
      </c>
      <c r="S89" s="65">
        <f>R89*K89*M89*N89/P89</f>
        <v>705237.67660679575</v>
      </c>
      <c r="T89" s="65">
        <f t="shared" si="56"/>
        <v>457262.32339320425</v>
      </c>
      <c r="U89" s="66">
        <v>0.606656065898319</v>
      </c>
      <c r="V89" s="264"/>
      <c r="W89" s="265"/>
      <c r="X89" s="65">
        <f t="shared" si="51"/>
        <v>12133121.317966379</v>
      </c>
      <c r="Y89" s="65">
        <f t="shared" si="51"/>
        <v>705237.67660679575</v>
      </c>
      <c r="Z89" s="67">
        <f t="shared" si="52"/>
        <v>12133121.317966379</v>
      </c>
      <c r="AA89" s="67">
        <f t="shared" si="52"/>
        <v>705237.67660679575</v>
      </c>
      <c r="AB89" s="67"/>
      <c r="AC89" s="67"/>
      <c r="AD89" s="67">
        <f>AA89-AB89-AC89</f>
        <v>705237.67660679575</v>
      </c>
      <c r="AE89" s="68">
        <v>40998410.884747803</v>
      </c>
      <c r="AF89" s="68">
        <f>AD89/K89/M89/9*P89</f>
        <v>13481245.90885153</v>
      </c>
      <c r="AG89" s="68"/>
      <c r="AH89" s="69"/>
      <c r="AI89" s="69"/>
      <c r="AJ89" s="70"/>
      <c r="AK89" s="70"/>
      <c r="AL89" s="71"/>
      <c r="AM89" s="69">
        <f t="shared" si="53"/>
        <v>705237.67660679575</v>
      </c>
      <c r="AN89" s="69"/>
      <c r="AO89" s="266">
        <f>1743750-1677794.9</f>
        <v>65955.100000000093</v>
      </c>
      <c r="AP89" s="267"/>
      <c r="AQ89" s="69">
        <f t="shared" si="50"/>
        <v>639282.57660679566</v>
      </c>
      <c r="AR89" s="69"/>
      <c r="AS89" s="69">
        <f t="shared" si="39"/>
        <v>639282.57660679566</v>
      </c>
      <c r="AT89" s="69">
        <f t="shared" si="40"/>
        <v>639282.57659999991</v>
      </c>
      <c r="AU89" s="72">
        <f>AD89/K89/M89/8*P89</f>
        <v>15166401.647457972</v>
      </c>
      <c r="AV89" s="72"/>
      <c r="AW89" s="72"/>
      <c r="AX89" s="73"/>
      <c r="AY89" s="74"/>
      <c r="AZ89" s="74"/>
      <c r="BA89" s="75"/>
      <c r="BB89" s="76">
        <f t="shared" si="54"/>
        <v>15166401.647457972</v>
      </c>
      <c r="BC89" s="76">
        <f>AM89/K89/M89/7*P89</f>
        <v>17333030.454237685</v>
      </c>
      <c r="BD89" s="77"/>
      <c r="BE89" s="268">
        <f>AO89/7.75%/0.9/6*12</f>
        <v>1891185.6630824399</v>
      </c>
      <c r="BF89" s="77"/>
      <c r="BG89" s="78">
        <f>AQ89/K89/M89/6*P89</f>
        <v>18330683.200194858</v>
      </c>
      <c r="BH89" s="78"/>
      <c r="BI89" s="78">
        <f t="shared" si="41"/>
        <v>6.7957444116473198E-6</v>
      </c>
      <c r="BJ89" s="79">
        <f t="shared" si="42"/>
        <v>28412558.960302033</v>
      </c>
      <c r="BK89" s="79">
        <v>28412558.960000001</v>
      </c>
      <c r="BL89" s="79">
        <v>50000000</v>
      </c>
      <c r="BM89" s="144" t="s">
        <v>99</v>
      </c>
      <c r="BN89" s="145" t="s">
        <v>186</v>
      </c>
    </row>
    <row r="90" spans="1:67" s="185" customFormat="1" ht="25.5">
      <c r="A90" s="171">
        <f>A89+1</f>
        <v>69</v>
      </c>
      <c r="B90" s="87" t="s">
        <v>187</v>
      </c>
      <c r="C90" s="172" t="s">
        <v>188</v>
      </c>
      <c r="D90" s="87" t="s">
        <v>64</v>
      </c>
      <c r="E90" s="87" t="s">
        <v>65</v>
      </c>
      <c r="F90" s="87"/>
      <c r="G90" s="87"/>
      <c r="H90" s="174">
        <v>43497</v>
      </c>
      <c r="I90" s="189" t="s">
        <v>128</v>
      </c>
      <c r="J90" s="175">
        <v>20000000</v>
      </c>
      <c r="K90" s="121">
        <v>7.7499999999999999E-2</v>
      </c>
      <c r="L90" s="63">
        <v>7.4999999999999997E-2</v>
      </c>
      <c r="M90" s="176">
        <v>0.9</v>
      </c>
      <c r="N90" s="177">
        <v>10</v>
      </c>
      <c r="O90" s="177"/>
      <c r="P90" s="176">
        <v>12</v>
      </c>
      <c r="Q90" s="177">
        <f>J90*K90*M90*N90/P90</f>
        <v>1162500</v>
      </c>
      <c r="R90" s="177">
        <f t="shared" si="55"/>
        <v>12133121.317966379</v>
      </c>
      <c r="S90" s="177">
        <f>R90*K90*M90*N90/P90</f>
        <v>705237.67660679575</v>
      </c>
      <c r="T90" s="177">
        <f t="shared" si="56"/>
        <v>457262.32339320425</v>
      </c>
      <c r="U90" s="178">
        <v>0.606656065898319</v>
      </c>
      <c r="V90" s="177"/>
      <c r="W90" s="176"/>
      <c r="X90" s="177">
        <f t="shared" si="51"/>
        <v>12133121.317966379</v>
      </c>
      <c r="Y90" s="177">
        <f t="shared" si="51"/>
        <v>705237.67660679575</v>
      </c>
      <c r="Z90" s="179">
        <f t="shared" si="52"/>
        <v>12133121.317966379</v>
      </c>
      <c r="AA90" s="179">
        <f t="shared" si="52"/>
        <v>705237.67660679575</v>
      </c>
      <c r="AB90" s="179">
        <v>663867.12</v>
      </c>
      <c r="AC90" s="179"/>
      <c r="AD90" s="179">
        <f t="shared" ref="AD90:AD175" si="58">AA90-AB90-AC90</f>
        <v>41370.556606795755</v>
      </c>
      <c r="AE90" s="180">
        <v>-2866878.6820336208</v>
      </c>
      <c r="AF90" s="180">
        <f>AD90/K90/M90/9*P90</f>
        <v>790835.01279418403</v>
      </c>
      <c r="AG90" s="180"/>
      <c r="AH90" s="70">
        <v>-41370.559999999998</v>
      </c>
      <c r="AI90" s="104"/>
      <c r="AJ90" s="104"/>
      <c r="AK90" s="104"/>
      <c r="AL90" s="104"/>
      <c r="AM90" s="104">
        <f t="shared" si="53"/>
        <v>-3.3932042424567044E-3</v>
      </c>
      <c r="AN90" s="104"/>
      <c r="AO90" s="104"/>
      <c r="AP90" s="104"/>
      <c r="AQ90" s="104">
        <f t="shared" si="50"/>
        <v>-3.3932042424567044E-3</v>
      </c>
      <c r="AR90" s="269"/>
      <c r="AS90" s="69">
        <f t="shared" si="39"/>
        <v>-3.3932042424567044E-3</v>
      </c>
      <c r="AT90" s="104">
        <f t="shared" si="40"/>
        <v>0</v>
      </c>
      <c r="AU90" s="181">
        <f>AD90/K90/M90/8*P90</f>
        <v>889689.38939345698</v>
      </c>
      <c r="AV90" s="181"/>
      <c r="AW90" s="105">
        <v>-889689.39</v>
      </c>
      <c r="AX90" s="182"/>
      <c r="AY90" s="182"/>
      <c r="AZ90" s="182"/>
      <c r="BA90" s="182"/>
      <c r="BB90" s="108">
        <f t="shared" si="54"/>
        <v>-6.0654303524643183E-4</v>
      </c>
      <c r="BC90" s="108">
        <f>AM90/K90/M90/7*P90</f>
        <v>-8.339672485300656E-2</v>
      </c>
      <c r="BD90" s="183"/>
      <c r="BE90" s="183"/>
      <c r="BF90" s="183"/>
      <c r="BG90" s="110">
        <f>AQ90/K90/M90/6*P90</f>
        <v>-9.7296178995174315E-2</v>
      </c>
      <c r="BH90" s="110"/>
      <c r="BI90" s="110">
        <f t="shared" si="41"/>
        <v>-3.3932042424567044E-3</v>
      </c>
      <c r="BJ90" s="116">
        <f t="shared" si="42"/>
        <v>-0.1508090774425202</v>
      </c>
      <c r="BK90" s="116"/>
      <c r="BL90" s="79"/>
      <c r="BM90" s="270"/>
      <c r="BN90" s="271"/>
    </row>
    <row r="91" spans="1:67" s="290" customFormat="1" ht="25.5" hidden="1">
      <c r="A91" s="272"/>
      <c r="B91" s="117" t="s">
        <v>187</v>
      </c>
      <c r="C91" s="273"/>
      <c r="D91" s="274" t="s">
        <v>97</v>
      </c>
      <c r="E91" s="274"/>
      <c r="F91" s="274"/>
      <c r="G91" s="274"/>
      <c r="H91" s="275"/>
      <c r="I91" s="275" t="s">
        <v>102</v>
      </c>
      <c r="J91" s="276"/>
      <c r="K91" s="277"/>
      <c r="L91" s="63">
        <v>7.4999999999999997E-2</v>
      </c>
      <c r="M91" s="133">
        <v>0.9</v>
      </c>
      <c r="N91" s="131">
        <v>10</v>
      </c>
      <c r="O91" s="131">
        <v>4</v>
      </c>
      <c r="P91" s="133">
        <v>12</v>
      </c>
      <c r="Q91" s="278"/>
      <c r="R91" s="278"/>
      <c r="S91" s="278"/>
      <c r="T91" s="278"/>
      <c r="U91" s="279"/>
      <c r="V91" s="278"/>
      <c r="W91" s="280"/>
      <c r="X91" s="278"/>
      <c r="Y91" s="278"/>
      <c r="Z91" s="281"/>
      <c r="AA91" s="281"/>
      <c r="AB91" s="281"/>
      <c r="AC91" s="281"/>
      <c r="AD91" s="281"/>
      <c r="AE91" s="282"/>
      <c r="AF91" s="282"/>
      <c r="AG91" s="282"/>
      <c r="AH91" s="283"/>
      <c r="AI91" s="283"/>
      <c r="AJ91" s="283"/>
      <c r="AK91" s="283"/>
      <c r="AL91" s="283"/>
      <c r="AM91" s="283"/>
      <c r="AN91" s="283"/>
      <c r="AO91" s="283"/>
      <c r="AP91" s="283"/>
      <c r="AQ91" s="283"/>
      <c r="AR91" s="283"/>
      <c r="AS91" s="69">
        <f t="shared" si="39"/>
        <v>0</v>
      </c>
      <c r="AT91" s="69">
        <f t="shared" si="40"/>
        <v>0</v>
      </c>
      <c r="AU91" s="284"/>
      <c r="AV91" s="284"/>
      <c r="AW91" s="284"/>
      <c r="AX91" s="285"/>
      <c r="AY91" s="285"/>
      <c r="AZ91" s="285"/>
      <c r="BA91" s="285"/>
      <c r="BB91" s="286"/>
      <c r="BC91" s="286"/>
      <c r="BD91" s="287"/>
      <c r="BE91" s="287"/>
      <c r="BF91" s="287"/>
      <c r="BG91" s="288"/>
      <c r="BH91" s="288"/>
      <c r="BI91" s="78">
        <f t="shared" si="41"/>
        <v>0</v>
      </c>
      <c r="BJ91" s="79">
        <f t="shared" si="42"/>
        <v>0</v>
      </c>
      <c r="BK91" s="79"/>
      <c r="BL91" s="289">
        <v>10000000</v>
      </c>
      <c r="BM91" s="144" t="s">
        <v>99</v>
      </c>
      <c r="BN91" s="145" t="s">
        <v>73</v>
      </c>
    </row>
    <row r="92" spans="1:67" s="112" customFormat="1" ht="38.25">
      <c r="A92" s="84">
        <f>A90+1</f>
        <v>70</v>
      </c>
      <c r="B92" s="85" t="s">
        <v>189</v>
      </c>
      <c r="C92" s="86" t="s">
        <v>190</v>
      </c>
      <c r="D92" s="85" t="s">
        <v>111</v>
      </c>
      <c r="E92" s="87" t="s">
        <v>98</v>
      </c>
      <c r="F92" s="89"/>
      <c r="G92" s="89"/>
      <c r="H92" s="90">
        <v>43525</v>
      </c>
      <c r="I92" s="90">
        <v>43525</v>
      </c>
      <c r="J92" s="91">
        <v>25000000</v>
      </c>
      <c r="K92" s="92">
        <v>7.7499999999999999E-2</v>
      </c>
      <c r="L92" s="63">
        <v>7.4999999999999997E-2</v>
      </c>
      <c r="M92" s="93">
        <v>0.9</v>
      </c>
      <c r="N92" s="94">
        <v>9</v>
      </c>
      <c r="O92" s="94"/>
      <c r="P92" s="93">
        <v>12</v>
      </c>
      <c r="Q92" s="95">
        <f>J92*K92*M92*N92/P92</f>
        <v>1307812.5</v>
      </c>
      <c r="R92" s="94">
        <f t="shared" si="55"/>
        <v>15166401.647457974</v>
      </c>
      <c r="S92" s="95">
        <f>R92*K92*M92*N92/P92</f>
        <v>793392.38618264522</v>
      </c>
      <c r="T92" s="95">
        <f t="shared" si="56"/>
        <v>514420.11381735478</v>
      </c>
      <c r="U92" s="96">
        <v>0.606656065898319</v>
      </c>
      <c r="V92" s="94"/>
      <c r="W92" s="97"/>
      <c r="X92" s="95">
        <f t="shared" si="51"/>
        <v>15166401.647457974</v>
      </c>
      <c r="Y92" s="95">
        <f t="shared" si="51"/>
        <v>793392.38618264522</v>
      </c>
      <c r="Z92" s="98">
        <f t="shared" si="52"/>
        <v>15166401.647457974</v>
      </c>
      <c r="AA92" s="98">
        <f t="shared" si="52"/>
        <v>793392.38618264522</v>
      </c>
      <c r="AB92" s="98">
        <f>1378724.99-AB93-AB94</f>
        <v>793377.71</v>
      </c>
      <c r="AC92" s="98"/>
      <c r="AD92" s="98">
        <f t="shared" si="58"/>
        <v>14.676182645256631</v>
      </c>
      <c r="AE92" s="100">
        <v>252.17662427574396</v>
      </c>
      <c r="AF92" s="100">
        <f>AD92/K92/M92/9*P92</f>
        <v>280.54829429403355</v>
      </c>
      <c r="AG92" s="100"/>
      <c r="AH92" s="101"/>
      <c r="AI92" s="101"/>
      <c r="AJ92" s="101"/>
      <c r="AK92" s="101"/>
      <c r="AL92" s="101"/>
      <c r="AM92" s="104">
        <f t="shared" si="53"/>
        <v>14.676182645256631</v>
      </c>
      <c r="AN92" s="104"/>
      <c r="AO92" s="104"/>
      <c r="AP92" s="104"/>
      <c r="AQ92" s="104">
        <f t="shared" si="50"/>
        <v>14.676182645256631</v>
      </c>
      <c r="AR92" s="104"/>
      <c r="AS92" s="104">
        <f t="shared" si="39"/>
        <v>14.676182645256631</v>
      </c>
      <c r="AT92" s="104">
        <f t="shared" si="40"/>
        <v>0</v>
      </c>
      <c r="AU92" s="181">
        <f>AD92/K92/M92/8*P92</f>
        <v>315.61683108078773</v>
      </c>
      <c r="AV92" s="106"/>
      <c r="AW92" s="106"/>
      <c r="AX92" s="107"/>
      <c r="AY92" s="107"/>
      <c r="AZ92" s="107"/>
      <c r="BA92" s="107"/>
      <c r="BB92" s="108">
        <f t="shared" si="54"/>
        <v>315.61683108078773</v>
      </c>
      <c r="BC92" s="108">
        <f>AM92/K92/M92/7*P92</f>
        <v>360.70494980661454</v>
      </c>
      <c r="BD92" s="109"/>
      <c r="BE92" s="109"/>
      <c r="BF92" s="109"/>
      <c r="BG92" s="110">
        <f>AQ92/K92/M92/6*P92</f>
        <v>420.82244144105033</v>
      </c>
      <c r="BH92" s="110"/>
      <c r="BI92" s="110">
        <f t="shared" si="41"/>
        <v>14.676182645256631</v>
      </c>
      <c r="BJ92" s="116">
        <f t="shared" si="42"/>
        <v>652.274784233628</v>
      </c>
      <c r="BK92" s="116"/>
      <c r="BL92" s="79"/>
      <c r="BM92" s="111"/>
    </row>
    <row r="93" spans="1:67" s="112" customFormat="1" ht="38.25">
      <c r="A93" s="84">
        <f t="shared" si="57"/>
        <v>71</v>
      </c>
      <c r="B93" s="85" t="s">
        <v>189</v>
      </c>
      <c r="C93" s="86" t="s">
        <v>191</v>
      </c>
      <c r="D93" s="85" t="s">
        <v>111</v>
      </c>
      <c r="E93" s="87" t="s">
        <v>98</v>
      </c>
      <c r="F93" s="89"/>
      <c r="G93" s="89"/>
      <c r="H93" s="90">
        <v>43617</v>
      </c>
      <c r="I93" s="90">
        <v>43617</v>
      </c>
      <c r="J93" s="91">
        <v>20000000</v>
      </c>
      <c r="K93" s="92">
        <v>7.7499999999999999E-2</v>
      </c>
      <c r="L93" s="63">
        <v>7.4999999999999997E-2</v>
      </c>
      <c r="M93" s="93">
        <v>0.9</v>
      </c>
      <c r="N93" s="94">
        <v>6</v>
      </c>
      <c r="O93" s="94"/>
      <c r="P93" s="93">
        <v>12</v>
      </c>
      <c r="Q93" s="95">
        <f>J93*K93*M93*N93/P93</f>
        <v>697500</v>
      </c>
      <c r="R93" s="94">
        <f t="shared" si="55"/>
        <v>12133121.317966379</v>
      </c>
      <c r="S93" s="95">
        <f>R93*K93*M93*N93/P93</f>
        <v>423142.60596407746</v>
      </c>
      <c r="T93" s="95">
        <f t="shared" si="56"/>
        <v>274357.39403592254</v>
      </c>
      <c r="U93" s="96">
        <v>0.606656065898319</v>
      </c>
      <c r="V93" s="94"/>
      <c r="W93" s="97"/>
      <c r="X93" s="95">
        <f t="shared" si="51"/>
        <v>12133121.317966379</v>
      </c>
      <c r="Y93" s="95">
        <f t="shared" si="51"/>
        <v>423142.60596407746</v>
      </c>
      <c r="Z93" s="98">
        <f t="shared" si="52"/>
        <v>12133121.317966379</v>
      </c>
      <c r="AA93" s="98">
        <f t="shared" si="52"/>
        <v>423142.60596407746</v>
      </c>
      <c r="AB93" s="115">
        <v>423142.61</v>
      </c>
      <c r="AC93" s="115"/>
      <c r="AD93" s="98">
        <f t="shared" si="58"/>
        <v>-4.0359225240536034E-3</v>
      </c>
      <c r="AE93" s="100">
        <v>0</v>
      </c>
      <c r="AF93" s="100">
        <f>AD93/K93/M93/9*P93</f>
        <v>-7.7150251355863383E-2</v>
      </c>
      <c r="AG93" s="100"/>
      <c r="AH93" s="101"/>
      <c r="AI93" s="101"/>
      <c r="AJ93" s="101"/>
      <c r="AK93" s="101"/>
      <c r="AL93" s="101"/>
      <c r="AM93" s="104">
        <f t="shared" si="53"/>
        <v>-4.0359225240536034E-3</v>
      </c>
      <c r="AN93" s="104"/>
      <c r="AO93" s="104"/>
      <c r="AP93" s="104"/>
      <c r="AQ93" s="104">
        <f t="shared" si="50"/>
        <v>-4.0359225240536034E-3</v>
      </c>
      <c r="AR93" s="104"/>
      <c r="AS93" s="104">
        <f t="shared" si="39"/>
        <v>-4.0359225240536034E-3</v>
      </c>
      <c r="AT93" s="104">
        <f t="shared" si="40"/>
        <v>0</v>
      </c>
      <c r="AU93" s="105">
        <f>AD93/K93/M93/8*P93</f>
        <v>-8.6794032775346308E-2</v>
      </c>
      <c r="AV93" s="106"/>
      <c r="AW93" s="106"/>
      <c r="AX93" s="107"/>
      <c r="AY93" s="107"/>
      <c r="AZ93" s="107"/>
      <c r="BA93" s="107"/>
      <c r="BB93" s="108">
        <f t="shared" si="54"/>
        <v>-8.6794032775346308E-2</v>
      </c>
      <c r="BC93" s="108">
        <f>AM93/K93/M93/7*P93</f>
        <v>-9.9193180314681481E-2</v>
      </c>
      <c r="BD93" s="109"/>
      <c r="BE93" s="109"/>
      <c r="BF93" s="109"/>
      <c r="BG93" s="110">
        <f>AQ93/K93/M93/6*P93</f>
        <v>-0.11572537703379507</v>
      </c>
      <c r="BH93" s="110"/>
      <c r="BI93" s="110">
        <f t="shared" si="41"/>
        <v>-4.0359225240536034E-3</v>
      </c>
      <c r="BJ93" s="116">
        <f t="shared" si="42"/>
        <v>-0.17937433440238237</v>
      </c>
      <c r="BK93" s="116"/>
      <c r="BL93" s="79"/>
      <c r="BM93" s="111"/>
    </row>
    <row r="94" spans="1:67" s="112" customFormat="1" ht="38.25">
      <c r="A94" s="84">
        <f t="shared" si="57"/>
        <v>72</v>
      </c>
      <c r="B94" s="85" t="s">
        <v>189</v>
      </c>
      <c r="C94" s="86" t="s">
        <v>192</v>
      </c>
      <c r="D94" s="85" t="s">
        <v>111</v>
      </c>
      <c r="E94" s="87" t="s">
        <v>98</v>
      </c>
      <c r="F94" s="89"/>
      <c r="G94" s="89"/>
      <c r="H94" s="90">
        <v>43739</v>
      </c>
      <c r="I94" s="90">
        <v>43739</v>
      </c>
      <c r="J94" s="91">
        <v>23000000</v>
      </c>
      <c r="K94" s="92">
        <v>7.7499999999999999E-2</v>
      </c>
      <c r="L94" s="63">
        <v>7.4999999999999997E-2</v>
      </c>
      <c r="M94" s="93">
        <v>0.9</v>
      </c>
      <c r="N94" s="94">
        <v>2</v>
      </c>
      <c r="O94" s="94"/>
      <c r="P94" s="93">
        <v>12</v>
      </c>
      <c r="Q94" s="95">
        <f>J94*K94*M94*N94/P94</f>
        <v>267375</v>
      </c>
      <c r="R94" s="94">
        <f t="shared" si="55"/>
        <v>13953089.515661336</v>
      </c>
      <c r="S94" s="95">
        <f>R94*K94*M94*N94/P94</f>
        <v>162204.66561956305</v>
      </c>
      <c r="T94" s="95">
        <f t="shared" si="56"/>
        <v>105170.33438043695</v>
      </c>
      <c r="U94" s="96">
        <v>0.606656065898319</v>
      </c>
      <c r="V94" s="94"/>
      <c r="W94" s="97"/>
      <c r="X94" s="95">
        <f t="shared" si="51"/>
        <v>13953089.515661336</v>
      </c>
      <c r="Y94" s="95">
        <f t="shared" si="51"/>
        <v>162204.66561956305</v>
      </c>
      <c r="Z94" s="98">
        <f t="shared" si="52"/>
        <v>13953089.515661336</v>
      </c>
      <c r="AA94" s="98">
        <f t="shared" si="52"/>
        <v>162204.66561956305</v>
      </c>
      <c r="AB94" s="115">
        <v>162204.67000000001</v>
      </c>
      <c r="AC94" s="115"/>
      <c r="AD94" s="98">
        <f t="shared" si="58"/>
        <v>-4.3804369634017348E-3</v>
      </c>
      <c r="AE94" s="100">
        <v>0</v>
      </c>
      <c r="AF94" s="100">
        <f>AD94/K94/M94/9*P94</f>
        <v>-8.3735951510666373E-2</v>
      </c>
      <c r="AG94" s="100"/>
      <c r="AH94" s="101"/>
      <c r="AI94" s="101"/>
      <c r="AJ94" s="101"/>
      <c r="AK94" s="101"/>
      <c r="AL94" s="101"/>
      <c r="AM94" s="104">
        <f t="shared" si="53"/>
        <v>-4.3804369634017348E-3</v>
      </c>
      <c r="AN94" s="104"/>
      <c r="AO94" s="104"/>
      <c r="AP94" s="104"/>
      <c r="AQ94" s="104">
        <f t="shared" si="50"/>
        <v>-4.3804369634017348E-3</v>
      </c>
      <c r="AR94" s="104"/>
      <c r="AS94" s="104">
        <f t="shared" si="39"/>
        <v>-4.3804369634017348E-3</v>
      </c>
      <c r="AT94" s="104">
        <f t="shared" si="40"/>
        <v>0</v>
      </c>
      <c r="AU94" s="105">
        <f>AD94/K94/M94/8*P94</f>
        <v>-9.420294544949967E-2</v>
      </c>
      <c r="AV94" s="106"/>
      <c r="AW94" s="106"/>
      <c r="AX94" s="107"/>
      <c r="AY94" s="107"/>
      <c r="AZ94" s="107"/>
      <c r="BA94" s="107"/>
      <c r="BB94" s="108">
        <f t="shared" si="54"/>
        <v>-9.420294544949967E-2</v>
      </c>
      <c r="BC94" s="108">
        <f>AM94/K94/M94/7*P94</f>
        <v>-0.10766050908514246</v>
      </c>
      <c r="BD94" s="109"/>
      <c r="BE94" s="109"/>
      <c r="BF94" s="109"/>
      <c r="BG94" s="110">
        <f>AQ94/K94/M94/6*P94</f>
        <v>-0.12560392726599956</v>
      </c>
      <c r="BH94" s="110"/>
      <c r="BI94" s="110">
        <f t="shared" si="41"/>
        <v>-4.3804369634017348E-3</v>
      </c>
      <c r="BJ94" s="116">
        <f t="shared" si="42"/>
        <v>-0.19468608726229936</v>
      </c>
      <c r="BK94" s="116"/>
      <c r="BL94" s="79"/>
      <c r="BM94" s="111"/>
    </row>
    <row r="95" spans="1:67" s="170" customFormat="1" ht="38.25" hidden="1">
      <c r="A95" s="150"/>
      <c r="B95" s="151" t="s">
        <v>189</v>
      </c>
      <c r="C95" s="291"/>
      <c r="D95" s="153" t="s">
        <v>120</v>
      </c>
      <c r="E95" s="127"/>
      <c r="F95" s="153"/>
      <c r="G95" s="153"/>
      <c r="H95" s="155"/>
      <c r="I95" s="155" t="s">
        <v>102</v>
      </c>
      <c r="J95" s="156"/>
      <c r="K95" s="157"/>
      <c r="L95" s="63">
        <v>7.4999999999999997E-2</v>
      </c>
      <c r="M95" s="93">
        <v>0.9</v>
      </c>
      <c r="N95" s="94">
        <v>2</v>
      </c>
      <c r="O95" s="94">
        <v>4</v>
      </c>
      <c r="P95" s="93">
        <v>12</v>
      </c>
      <c r="Q95" s="158"/>
      <c r="R95" s="158">
        <f t="shared" si="55"/>
        <v>0</v>
      </c>
      <c r="S95" s="158"/>
      <c r="T95" s="158"/>
      <c r="U95" s="159"/>
      <c r="V95" s="158"/>
      <c r="W95" s="160"/>
      <c r="X95" s="158">
        <f t="shared" si="51"/>
        <v>0</v>
      </c>
      <c r="Y95" s="158"/>
      <c r="Z95" s="161">
        <f t="shared" si="52"/>
        <v>0</v>
      </c>
      <c r="AA95" s="161"/>
      <c r="AB95" s="162"/>
      <c r="AC95" s="162"/>
      <c r="AD95" s="161"/>
      <c r="AE95" s="163"/>
      <c r="AF95" s="163"/>
      <c r="AG95" s="163"/>
      <c r="AH95" s="102"/>
      <c r="AI95" s="102"/>
      <c r="AJ95" s="102"/>
      <c r="AK95" s="102"/>
      <c r="AL95" s="102"/>
      <c r="AM95" s="70"/>
      <c r="AN95" s="70"/>
      <c r="AO95" s="70"/>
      <c r="AP95" s="70"/>
      <c r="AQ95" s="70"/>
      <c r="AR95" s="70"/>
      <c r="AS95" s="69">
        <f t="shared" si="39"/>
        <v>0</v>
      </c>
      <c r="AT95" s="69">
        <f t="shared" si="40"/>
        <v>0</v>
      </c>
      <c r="AU95" s="164"/>
      <c r="AV95" s="165"/>
      <c r="AW95" s="165"/>
      <c r="AX95" s="166"/>
      <c r="AY95" s="166"/>
      <c r="AZ95" s="166"/>
      <c r="BA95" s="166"/>
      <c r="BB95" s="137"/>
      <c r="BC95" s="137"/>
      <c r="BD95" s="167"/>
      <c r="BE95" s="167"/>
      <c r="BF95" s="167"/>
      <c r="BG95" s="168"/>
      <c r="BH95" s="168"/>
      <c r="BI95" s="78">
        <f t="shared" si="41"/>
        <v>0</v>
      </c>
      <c r="BJ95" s="79">
        <f t="shared" si="42"/>
        <v>0</v>
      </c>
      <c r="BK95" s="79"/>
      <c r="BL95" s="143">
        <v>65000000</v>
      </c>
      <c r="BM95" s="144" t="s">
        <v>99</v>
      </c>
      <c r="BN95" s="148" t="s">
        <v>76</v>
      </c>
    </row>
    <row r="96" spans="1:67" s="185" customFormat="1" ht="25.5">
      <c r="A96" s="171">
        <f>A94+1</f>
        <v>73</v>
      </c>
      <c r="B96" s="87" t="s">
        <v>193</v>
      </c>
      <c r="C96" s="172" t="s">
        <v>194</v>
      </c>
      <c r="D96" s="87" t="s">
        <v>64</v>
      </c>
      <c r="E96" s="87" t="s">
        <v>65</v>
      </c>
      <c r="F96" s="87"/>
      <c r="G96" s="87"/>
      <c r="H96" s="174">
        <v>43497</v>
      </c>
      <c r="I96" s="174">
        <v>43497</v>
      </c>
      <c r="J96" s="175">
        <v>15000000</v>
      </c>
      <c r="K96" s="121">
        <v>7.7499999999999999E-2</v>
      </c>
      <c r="L96" s="63">
        <v>7.4999999999999997E-2</v>
      </c>
      <c r="M96" s="176">
        <v>0.9</v>
      </c>
      <c r="N96" s="177">
        <v>10</v>
      </c>
      <c r="O96" s="177"/>
      <c r="P96" s="176">
        <v>12</v>
      </c>
      <c r="Q96" s="177">
        <f>J96*K96*M96*N96/P96</f>
        <v>871875</v>
      </c>
      <c r="R96" s="177">
        <f t="shared" si="55"/>
        <v>9099840.9884747844</v>
      </c>
      <c r="S96" s="177">
        <f>R96*K96*M96*N96/P96</f>
        <v>528928.25745509693</v>
      </c>
      <c r="T96" s="177">
        <f t="shared" si="56"/>
        <v>342946.74254490307</v>
      </c>
      <c r="U96" s="178">
        <v>0.606656065898319</v>
      </c>
      <c r="V96" s="177"/>
      <c r="W96" s="176"/>
      <c r="X96" s="177">
        <f t="shared" si="51"/>
        <v>9099840.9884747844</v>
      </c>
      <c r="Y96" s="177">
        <f t="shared" si="51"/>
        <v>528928.25745509693</v>
      </c>
      <c r="Z96" s="179">
        <f t="shared" si="52"/>
        <v>9099840.9884747844</v>
      </c>
      <c r="AA96" s="179">
        <f t="shared" si="52"/>
        <v>528928.25745509693</v>
      </c>
      <c r="AB96" s="179">
        <v>528879.38</v>
      </c>
      <c r="AC96" s="179"/>
      <c r="AD96" s="179">
        <f t="shared" si="58"/>
        <v>48.877455096924677</v>
      </c>
      <c r="AE96" s="180">
        <v>840.98847478628159</v>
      </c>
      <c r="AF96" s="180">
        <f>AD96/K96/M96/9*P96</f>
        <v>934.33605920047171</v>
      </c>
      <c r="AG96" s="180"/>
      <c r="AH96" s="104"/>
      <c r="AI96" s="104"/>
      <c r="AJ96" s="104"/>
      <c r="AK96" s="104"/>
      <c r="AL96" s="104"/>
      <c r="AM96" s="104">
        <f t="shared" si="53"/>
        <v>48.877455096924677</v>
      </c>
      <c r="AN96" s="104"/>
      <c r="AO96" s="104"/>
      <c r="AP96" s="104"/>
      <c r="AQ96" s="104">
        <f t="shared" si="50"/>
        <v>48.877455096924677</v>
      </c>
      <c r="AR96" s="104"/>
      <c r="AS96" s="69">
        <f t="shared" si="39"/>
        <v>48.877455096924677</v>
      </c>
      <c r="AT96" s="104">
        <f t="shared" si="40"/>
        <v>0</v>
      </c>
      <c r="AU96" s="181">
        <f>AD96/K96/M96/8*P96</f>
        <v>1051.1280666005305</v>
      </c>
      <c r="AV96" s="181"/>
      <c r="AW96" s="181"/>
      <c r="AX96" s="182"/>
      <c r="AY96" s="182"/>
      <c r="AZ96" s="182"/>
      <c r="BA96" s="182"/>
      <c r="BB96" s="108">
        <f t="shared" si="54"/>
        <v>1051.1280666005305</v>
      </c>
      <c r="BC96" s="108">
        <f>AM96/K96/M96/7*P96</f>
        <v>1201.2892189720351</v>
      </c>
      <c r="BD96" s="183"/>
      <c r="BE96" s="183"/>
      <c r="BF96" s="183"/>
      <c r="BG96" s="110">
        <f>AQ96/K96/M96/6*P96</f>
        <v>1401.5040888007074</v>
      </c>
      <c r="BH96" s="110"/>
      <c r="BI96" s="110">
        <f t="shared" si="41"/>
        <v>48.877455096924677</v>
      </c>
      <c r="BJ96" s="116">
        <f t="shared" si="42"/>
        <v>2172.331337641097</v>
      </c>
      <c r="BK96" s="116"/>
      <c r="BL96" s="79"/>
      <c r="BM96" s="184"/>
    </row>
    <row r="97" spans="1:66" s="5" customFormat="1" hidden="1">
      <c r="A97" s="126"/>
      <c r="B97" s="127" t="s">
        <v>193</v>
      </c>
      <c r="C97" s="140"/>
      <c r="D97" s="127"/>
      <c r="E97" s="127"/>
      <c r="F97" s="127"/>
      <c r="G97" s="127"/>
      <c r="H97" s="129"/>
      <c r="I97" s="129" t="s">
        <v>149</v>
      </c>
      <c r="J97" s="130"/>
      <c r="K97" s="142"/>
      <c r="L97" s="63">
        <v>7.4999999999999997E-2</v>
      </c>
      <c r="M97" s="176">
        <v>0.9</v>
      </c>
      <c r="N97" s="177"/>
      <c r="O97" s="131">
        <v>3</v>
      </c>
      <c r="P97" s="176">
        <v>12</v>
      </c>
      <c r="Q97" s="131"/>
      <c r="R97" s="131">
        <f t="shared" si="55"/>
        <v>0</v>
      </c>
      <c r="S97" s="131"/>
      <c r="T97" s="131"/>
      <c r="U97" s="132"/>
      <c r="V97" s="131"/>
      <c r="W97" s="133"/>
      <c r="X97" s="131">
        <f t="shared" si="51"/>
        <v>0</v>
      </c>
      <c r="Y97" s="131"/>
      <c r="Z97" s="134">
        <f t="shared" si="52"/>
        <v>0</v>
      </c>
      <c r="AA97" s="134"/>
      <c r="AB97" s="134"/>
      <c r="AC97" s="134"/>
      <c r="AD97" s="134"/>
      <c r="AE97" s="135"/>
      <c r="AF97" s="135"/>
      <c r="AG97" s="135"/>
      <c r="AH97" s="70"/>
      <c r="AI97" s="70"/>
      <c r="AJ97" s="70"/>
      <c r="AK97" s="70"/>
      <c r="AL97" s="70"/>
      <c r="AM97" s="70"/>
      <c r="AN97" s="70"/>
      <c r="AO97" s="70"/>
      <c r="AP97" s="70"/>
      <c r="AQ97" s="70">
        <v>48.88</v>
      </c>
      <c r="AR97" s="70"/>
      <c r="AS97" s="69">
        <f t="shared" si="39"/>
        <v>48.88</v>
      </c>
      <c r="AT97" s="69">
        <f t="shared" si="40"/>
        <v>0</v>
      </c>
      <c r="AU97" s="136"/>
      <c r="AV97" s="136"/>
      <c r="AW97" s="136"/>
      <c r="AX97" s="74"/>
      <c r="AY97" s="74"/>
      <c r="AZ97" s="74"/>
      <c r="BA97" s="74"/>
      <c r="BB97" s="137"/>
      <c r="BC97" s="137"/>
      <c r="BD97" s="138"/>
      <c r="BE97" s="138"/>
      <c r="BF97" s="138"/>
      <c r="BG97" s="168"/>
      <c r="BH97" s="168"/>
      <c r="BI97" s="78">
        <f t="shared" si="41"/>
        <v>48.88</v>
      </c>
      <c r="BJ97" s="79">
        <f t="shared" si="42"/>
        <v>2172.4444444444443</v>
      </c>
      <c r="BK97" s="79"/>
      <c r="BL97" s="169">
        <v>5000000</v>
      </c>
      <c r="BM97" s="139"/>
    </row>
    <row r="98" spans="1:66" ht="25.5">
      <c r="A98" s="236">
        <f>A96+1</f>
        <v>74</v>
      </c>
      <c r="B98" s="237" t="s">
        <v>195</v>
      </c>
      <c r="C98" s="253" t="s">
        <v>196</v>
      </c>
      <c r="D98" s="237" t="s">
        <v>64</v>
      </c>
      <c r="E98" s="237" t="s">
        <v>98</v>
      </c>
      <c r="F98" s="237"/>
      <c r="G98" s="237"/>
      <c r="H98" s="238">
        <v>43497</v>
      </c>
      <c r="I98" s="238" t="s">
        <v>117</v>
      </c>
      <c r="J98" s="239">
        <v>35000000</v>
      </c>
      <c r="K98" s="240">
        <v>7.7499999999999999E-2</v>
      </c>
      <c r="L98" s="63">
        <v>7.4999999999999997E-2</v>
      </c>
      <c r="M98" s="241">
        <v>0.9</v>
      </c>
      <c r="N98" s="242">
        <v>10</v>
      </c>
      <c r="O98" s="242">
        <v>3</v>
      </c>
      <c r="P98" s="241">
        <v>12</v>
      </c>
      <c r="Q98" s="242">
        <f>J98*K98*M98*N98/P98</f>
        <v>2034375</v>
      </c>
      <c r="R98" s="242">
        <f t="shared" si="55"/>
        <v>21232962.306441166</v>
      </c>
      <c r="S98" s="242">
        <f>R98*K98*M98*N98/P98</f>
        <v>1234165.9340618926</v>
      </c>
      <c r="T98" s="242">
        <f t="shared" si="56"/>
        <v>800209.06593810744</v>
      </c>
      <c r="U98" s="243">
        <v>0.606656065898319</v>
      </c>
      <c r="V98" s="242"/>
      <c r="W98" s="241"/>
      <c r="X98" s="242">
        <f t="shared" si="51"/>
        <v>21232962.306441166</v>
      </c>
      <c r="Y98" s="242">
        <f t="shared" si="51"/>
        <v>1234165.9340618926</v>
      </c>
      <c r="Z98" s="244">
        <f t="shared" si="52"/>
        <v>21232962.306441166</v>
      </c>
      <c r="AA98" s="244">
        <f t="shared" si="52"/>
        <v>1234165.9340618926</v>
      </c>
      <c r="AB98" s="244"/>
      <c r="AC98" s="244"/>
      <c r="AD98" s="244">
        <f t="shared" si="58"/>
        <v>1234165.9340618926</v>
      </c>
      <c r="AE98" s="246">
        <v>21232962.306441166</v>
      </c>
      <c r="AF98" s="246">
        <f>AD98/K98/M98/9*P98</f>
        <v>23592180.340490181</v>
      </c>
      <c r="AG98" s="246"/>
      <c r="AH98" s="247"/>
      <c r="AI98" s="247">
        <v>878850</v>
      </c>
      <c r="AJ98" s="70"/>
      <c r="AK98" s="70"/>
      <c r="AL98" s="71"/>
      <c r="AM98" s="69">
        <f t="shared" si="53"/>
        <v>355315.93406189256</v>
      </c>
      <c r="AN98" s="69"/>
      <c r="AO98" s="69"/>
      <c r="AP98" s="69"/>
      <c r="AQ98" s="69">
        <f t="shared" si="50"/>
        <v>355315.93406189256</v>
      </c>
      <c r="AR98" s="69"/>
      <c r="AS98" s="69">
        <f t="shared" si="39"/>
        <v>355315.93406189256</v>
      </c>
      <c r="AT98" s="69">
        <f t="shared" si="40"/>
        <v>315000</v>
      </c>
      <c r="AU98" s="248">
        <f>AD98/K98/M98/8*P98</f>
        <v>26541202.883051455</v>
      </c>
      <c r="AV98" s="248"/>
      <c r="AW98" s="248"/>
      <c r="AX98" s="292">
        <v>21000000</v>
      </c>
      <c r="AY98" s="74"/>
      <c r="AZ98" s="74"/>
      <c r="BA98" s="75"/>
      <c r="BB98" s="76">
        <f t="shared" si="54"/>
        <v>5541202.883051455</v>
      </c>
      <c r="BC98" s="76">
        <f>AM98/K98/M98/7*P98</f>
        <v>8732803.2949159481</v>
      </c>
      <c r="BD98" s="251"/>
      <c r="BE98" s="251"/>
      <c r="BF98" s="251"/>
      <c r="BG98" s="78">
        <f>AQ98/K98/M98/6*P98</f>
        <v>10188270.510735271</v>
      </c>
      <c r="BH98" s="78"/>
      <c r="BI98" s="78">
        <f t="shared" si="41"/>
        <v>40315.934061892563</v>
      </c>
      <c r="BJ98" s="79">
        <f t="shared" si="42"/>
        <v>15791819.291639669</v>
      </c>
      <c r="BK98" s="79">
        <v>14000000</v>
      </c>
      <c r="BL98" s="79">
        <v>15000000</v>
      </c>
      <c r="BM98" s="293" t="s">
        <v>197</v>
      </c>
      <c r="BN98" s="4" t="s">
        <v>198</v>
      </c>
    </row>
    <row r="99" spans="1:66" ht="25.5" hidden="1">
      <c r="A99" s="236"/>
      <c r="B99" s="117" t="s">
        <v>195</v>
      </c>
      <c r="C99" s="253"/>
      <c r="D99" s="237" t="s">
        <v>64</v>
      </c>
      <c r="E99" s="237"/>
      <c r="F99" s="237"/>
      <c r="G99" s="237"/>
      <c r="H99" s="238"/>
      <c r="I99" s="238" t="s">
        <v>89</v>
      </c>
      <c r="J99" s="239"/>
      <c r="K99" s="240"/>
      <c r="L99" s="63">
        <v>7.4999999999999997E-2</v>
      </c>
      <c r="M99" s="241">
        <v>0.9</v>
      </c>
      <c r="N99" s="242"/>
      <c r="O99" s="242">
        <v>1</v>
      </c>
      <c r="P99" s="241">
        <v>12</v>
      </c>
      <c r="Q99" s="242"/>
      <c r="R99" s="242">
        <f t="shared" si="55"/>
        <v>0</v>
      </c>
      <c r="S99" s="242"/>
      <c r="T99" s="242"/>
      <c r="U99" s="243"/>
      <c r="V99" s="242"/>
      <c r="W99" s="241"/>
      <c r="X99" s="242">
        <f t="shared" si="51"/>
        <v>0</v>
      </c>
      <c r="Y99" s="242"/>
      <c r="Z99" s="244">
        <f t="shared" si="52"/>
        <v>0</v>
      </c>
      <c r="AA99" s="244"/>
      <c r="AB99" s="244"/>
      <c r="AC99" s="244"/>
      <c r="AD99" s="244"/>
      <c r="AE99" s="246"/>
      <c r="AF99" s="246"/>
      <c r="AG99" s="246"/>
      <c r="AH99" s="247"/>
      <c r="AI99" s="247"/>
      <c r="AJ99" s="70"/>
      <c r="AK99" s="70"/>
      <c r="AL99" s="71"/>
      <c r="AM99" s="69"/>
      <c r="AN99" s="69"/>
      <c r="AO99" s="69"/>
      <c r="AP99" s="69"/>
      <c r="AQ99" s="69"/>
      <c r="AR99" s="69"/>
      <c r="AS99" s="69">
        <f t="shared" si="39"/>
        <v>0</v>
      </c>
      <c r="AT99" s="69">
        <f t="shared" si="40"/>
        <v>0</v>
      </c>
      <c r="AU99" s="248"/>
      <c r="AV99" s="248"/>
      <c r="AW99" s="248"/>
      <c r="AX99" s="292"/>
      <c r="AY99" s="74"/>
      <c r="AZ99" s="74"/>
      <c r="BA99" s="75"/>
      <c r="BB99" s="76"/>
      <c r="BC99" s="76"/>
      <c r="BD99" s="251"/>
      <c r="BE99" s="251"/>
      <c r="BF99" s="251"/>
      <c r="BG99" s="78"/>
      <c r="BH99" s="78"/>
      <c r="BI99" s="78">
        <f t="shared" si="41"/>
        <v>0</v>
      </c>
      <c r="BJ99" s="79">
        <f t="shared" si="42"/>
        <v>0</v>
      </c>
      <c r="BK99" s="79"/>
      <c r="BL99" s="79">
        <v>6000000</v>
      </c>
      <c r="BM99" s="293" t="s">
        <v>199</v>
      </c>
      <c r="BN99" s="81" t="s">
        <v>64</v>
      </c>
    </row>
    <row r="100" spans="1:66" ht="25.5" hidden="1">
      <c r="A100" s="236"/>
      <c r="B100" s="117" t="s">
        <v>195</v>
      </c>
      <c r="C100" s="253"/>
      <c r="D100" s="237" t="s">
        <v>64</v>
      </c>
      <c r="E100" s="237"/>
      <c r="F100" s="237"/>
      <c r="G100" s="237"/>
      <c r="H100" s="238"/>
      <c r="I100" s="238" t="s">
        <v>200</v>
      </c>
      <c r="J100" s="239"/>
      <c r="K100" s="240"/>
      <c r="L100" s="63">
        <v>7.4999999999999997E-2</v>
      </c>
      <c r="M100" s="241">
        <v>0.9</v>
      </c>
      <c r="N100" s="242"/>
      <c r="O100" s="242">
        <v>0</v>
      </c>
      <c r="P100" s="241">
        <v>12</v>
      </c>
      <c r="Q100" s="242"/>
      <c r="R100" s="242"/>
      <c r="S100" s="242"/>
      <c r="T100" s="242"/>
      <c r="U100" s="243"/>
      <c r="V100" s="242"/>
      <c r="W100" s="241"/>
      <c r="X100" s="242"/>
      <c r="Y100" s="242"/>
      <c r="Z100" s="244"/>
      <c r="AA100" s="244"/>
      <c r="AB100" s="244"/>
      <c r="AC100" s="244"/>
      <c r="AD100" s="244"/>
      <c r="AE100" s="246"/>
      <c r="AF100" s="246"/>
      <c r="AG100" s="246"/>
      <c r="AH100" s="247"/>
      <c r="AI100" s="247"/>
      <c r="AJ100" s="70"/>
      <c r="AK100" s="70"/>
      <c r="AL100" s="71"/>
      <c r="AM100" s="69"/>
      <c r="AN100" s="69"/>
      <c r="AO100" s="69"/>
      <c r="AP100" s="69"/>
      <c r="AQ100" s="69"/>
      <c r="AR100" s="69"/>
      <c r="AS100" s="69">
        <f t="shared" si="39"/>
        <v>0</v>
      </c>
      <c r="AT100" s="69">
        <f t="shared" si="40"/>
        <v>0</v>
      </c>
      <c r="AU100" s="248"/>
      <c r="AV100" s="248"/>
      <c r="AW100" s="248"/>
      <c r="AX100" s="292"/>
      <c r="AY100" s="74"/>
      <c r="AZ100" s="74"/>
      <c r="BA100" s="75"/>
      <c r="BB100" s="76"/>
      <c r="BC100" s="76"/>
      <c r="BD100" s="251"/>
      <c r="BE100" s="251"/>
      <c r="BF100" s="251"/>
      <c r="BG100" s="78"/>
      <c r="BH100" s="78"/>
      <c r="BI100" s="78">
        <f t="shared" si="41"/>
        <v>0</v>
      </c>
      <c r="BJ100" s="79">
        <f t="shared" si="42"/>
        <v>0</v>
      </c>
      <c r="BK100" s="79"/>
      <c r="BL100" s="79"/>
      <c r="BM100" s="235"/>
      <c r="BN100" s="81" t="s">
        <v>64</v>
      </c>
    </row>
    <row r="101" spans="1:66" s="81" customFormat="1" ht="25.5">
      <c r="A101" s="56">
        <f>A98+1</f>
        <v>75</v>
      </c>
      <c r="B101" s="57" t="s">
        <v>201</v>
      </c>
      <c r="C101" s="58" t="s">
        <v>202</v>
      </c>
      <c r="D101" s="57" t="s">
        <v>64</v>
      </c>
      <c r="E101" s="57" t="s">
        <v>65</v>
      </c>
      <c r="F101" s="57"/>
      <c r="G101" s="57"/>
      <c r="H101" s="60">
        <v>43497</v>
      </c>
      <c r="I101" s="61" t="s">
        <v>89</v>
      </c>
      <c r="J101" s="62">
        <v>20000000</v>
      </c>
      <c r="K101" s="63">
        <v>7.7499999999999999E-2</v>
      </c>
      <c r="L101" s="63">
        <v>7.4999999999999997E-2</v>
      </c>
      <c r="M101" s="64">
        <v>0.9</v>
      </c>
      <c r="N101" s="65">
        <v>10</v>
      </c>
      <c r="O101" s="65">
        <v>4</v>
      </c>
      <c r="P101" s="64">
        <v>12</v>
      </c>
      <c r="Q101" s="65">
        <f t="shared" ref="Q101:Q107" si="59">J101*K101*M101*N101/P101</f>
        <v>1162500</v>
      </c>
      <c r="R101" s="65">
        <f t="shared" si="55"/>
        <v>12133121.317966379</v>
      </c>
      <c r="S101" s="65">
        <f t="shared" ref="S101:S107" si="60">R101*K101*M101*N101/P101</f>
        <v>705237.67660679575</v>
      </c>
      <c r="T101" s="65">
        <f t="shared" si="56"/>
        <v>457262.32339320425</v>
      </c>
      <c r="U101" s="66">
        <v>0.606656065898319</v>
      </c>
      <c r="V101" s="65"/>
      <c r="W101" s="64"/>
      <c r="X101" s="65">
        <f t="shared" si="51"/>
        <v>12133121.317966379</v>
      </c>
      <c r="Y101" s="65">
        <f t="shared" si="51"/>
        <v>705237.67660679575</v>
      </c>
      <c r="Z101" s="67">
        <f t="shared" si="52"/>
        <v>12133121.317966379</v>
      </c>
      <c r="AA101" s="67">
        <f t="shared" si="52"/>
        <v>705237.67660679575</v>
      </c>
      <c r="AB101" s="67"/>
      <c r="AC101" s="67"/>
      <c r="AD101" s="67">
        <f t="shared" si="58"/>
        <v>705237.67660679575</v>
      </c>
      <c r="AE101" s="68">
        <v>12133121.317966379</v>
      </c>
      <c r="AF101" s="68">
        <f t="shared" ref="AF101:AF107" si="61">AD101/K101/M101/9*P101</f>
        <v>13481245.90885153</v>
      </c>
      <c r="AG101" s="68"/>
      <c r="AH101" s="69"/>
      <c r="AI101" s="69"/>
      <c r="AJ101" s="70"/>
      <c r="AK101" s="70"/>
      <c r="AL101" s="71"/>
      <c r="AM101" s="69">
        <f t="shared" si="53"/>
        <v>705237.67660679575</v>
      </c>
      <c r="AN101" s="69"/>
      <c r="AO101" s="69"/>
      <c r="AP101" s="69"/>
      <c r="AQ101" s="69">
        <f t="shared" si="50"/>
        <v>705237.67660679575</v>
      </c>
      <c r="AR101" s="69"/>
      <c r="AS101" s="69">
        <f t="shared" si="39"/>
        <v>705237.67660679575</v>
      </c>
      <c r="AT101" s="69">
        <f t="shared" si="40"/>
        <v>450000</v>
      </c>
      <c r="AU101" s="72">
        <f t="shared" ref="AU101:AU107" si="62">AD101/K101/M101/8*P101</f>
        <v>15166401.647457972</v>
      </c>
      <c r="AV101" s="72"/>
      <c r="AW101" s="72"/>
      <c r="AX101" s="73"/>
      <c r="AY101" s="74"/>
      <c r="AZ101" s="74"/>
      <c r="BA101" s="75"/>
      <c r="BB101" s="76">
        <f t="shared" si="54"/>
        <v>15166401.647457972</v>
      </c>
      <c r="BC101" s="76">
        <f t="shared" ref="BC101:BC107" si="63">AM101/K101/M101/7*P101</f>
        <v>17333030.454237685</v>
      </c>
      <c r="BD101" s="77"/>
      <c r="BE101" s="77"/>
      <c r="BF101" s="77"/>
      <c r="BG101" s="78">
        <f t="shared" ref="BG101:BG107" si="64">AQ101/K101/M101/6*P101</f>
        <v>20221868.863277297</v>
      </c>
      <c r="BH101" s="78"/>
      <c r="BI101" s="78">
        <f t="shared" si="41"/>
        <v>255237.67660679575</v>
      </c>
      <c r="BJ101" s="79">
        <f t="shared" si="42"/>
        <v>31343896.738079812</v>
      </c>
      <c r="BK101" s="79">
        <v>20000000</v>
      </c>
      <c r="BL101" s="79">
        <v>20000000</v>
      </c>
      <c r="BM101" s="294" t="s">
        <v>99</v>
      </c>
      <c r="BN101" s="81" t="s">
        <v>73</v>
      </c>
    </row>
    <row r="102" spans="1:66" s="185" customFormat="1" ht="25.5">
      <c r="A102" s="171">
        <f t="shared" si="57"/>
        <v>76</v>
      </c>
      <c r="B102" s="87" t="s">
        <v>203</v>
      </c>
      <c r="C102" s="172" t="s">
        <v>204</v>
      </c>
      <c r="D102" s="87" t="s">
        <v>64</v>
      </c>
      <c r="E102" s="87" t="s">
        <v>65</v>
      </c>
      <c r="F102" s="87"/>
      <c r="G102" s="87"/>
      <c r="H102" s="174">
        <v>43497</v>
      </c>
      <c r="I102" s="174" t="s">
        <v>117</v>
      </c>
      <c r="J102" s="175">
        <v>500000</v>
      </c>
      <c r="K102" s="121">
        <v>7.7499999999999999E-2</v>
      </c>
      <c r="L102" s="121">
        <v>7.4999999999999997E-2</v>
      </c>
      <c r="M102" s="176">
        <v>0.9</v>
      </c>
      <c r="N102" s="177">
        <v>10</v>
      </c>
      <c r="O102" s="177"/>
      <c r="P102" s="176">
        <v>12</v>
      </c>
      <c r="Q102" s="177">
        <f t="shared" si="59"/>
        <v>29062.5</v>
      </c>
      <c r="R102" s="177">
        <f t="shared" si="55"/>
        <v>303328.0329491595</v>
      </c>
      <c r="S102" s="177">
        <f t="shared" si="60"/>
        <v>17630.941915169897</v>
      </c>
      <c r="T102" s="177">
        <f t="shared" si="56"/>
        <v>11431.558084830103</v>
      </c>
      <c r="U102" s="178">
        <v>0.606656065898319</v>
      </c>
      <c r="V102" s="177"/>
      <c r="W102" s="176"/>
      <c r="X102" s="177">
        <f t="shared" si="51"/>
        <v>303328.0329491595</v>
      </c>
      <c r="Y102" s="177">
        <f t="shared" si="51"/>
        <v>17630.941915169897</v>
      </c>
      <c r="Z102" s="179">
        <f t="shared" si="52"/>
        <v>303328.0329491595</v>
      </c>
      <c r="AA102" s="179">
        <f t="shared" si="52"/>
        <v>17630.941915169897</v>
      </c>
      <c r="AB102" s="179"/>
      <c r="AC102" s="179"/>
      <c r="AD102" s="179">
        <f t="shared" si="58"/>
        <v>17630.941915169897</v>
      </c>
      <c r="AE102" s="180">
        <v>303328.0329491595</v>
      </c>
      <c r="AF102" s="180">
        <f t="shared" si="61"/>
        <v>337031.14772128832</v>
      </c>
      <c r="AG102" s="180"/>
      <c r="AH102" s="104"/>
      <c r="AI102" s="104"/>
      <c r="AJ102" s="104"/>
      <c r="AK102" s="104"/>
      <c r="AL102" s="104"/>
      <c r="AM102" s="104">
        <f t="shared" si="53"/>
        <v>17630.941915169897</v>
      </c>
      <c r="AN102" s="104"/>
      <c r="AO102" s="104"/>
      <c r="AP102" s="104"/>
      <c r="AQ102" s="104">
        <f>AM102-AN102-AO102-AP102-17630.94</f>
        <v>1.9151698979840148E-3</v>
      </c>
      <c r="AR102" s="104"/>
      <c r="AS102" s="69">
        <f t="shared" si="39"/>
        <v>1.9151698979840148E-3</v>
      </c>
      <c r="AT102" s="104">
        <f t="shared" si="40"/>
        <v>0</v>
      </c>
      <c r="AU102" s="181">
        <f t="shared" si="62"/>
        <v>379160.04118644935</v>
      </c>
      <c r="AV102" s="181"/>
      <c r="AW102" s="181"/>
      <c r="AX102" s="182"/>
      <c r="AY102" s="182"/>
      <c r="AZ102" s="182"/>
      <c r="BA102" s="182"/>
      <c r="BB102" s="108">
        <f t="shared" si="54"/>
        <v>379160.04118644935</v>
      </c>
      <c r="BC102" s="108">
        <f t="shared" si="63"/>
        <v>433325.76135594217</v>
      </c>
      <c r="BD102" s="183"/>
      <c r="BE102" s="183"/>
      <c r="BF102" s="183"/>
      <c r="BG102" s="110">
        <f t="shared" si="64"/>
        <v>5.4915265892014765E-2</v>
      </c>
      <c r="BH102" s="110"/>
      <c r="BI102" s="110">
        <f t="shared" si="41"/>
        <v>1.9151698979840148E-3</v>
      </c>
      <c r="BJ102" s="116">
        <f t="shared" si="42"/>
        <v>8.5118662132622883E-2</v>
      </c>
      <c r="BK102" s="116"/>
      <c r="BL102" s="116"/>
      <c r="BM102" s="184"/>
    </row>
    <row r="103" spans="1:66" s="185" customFormat="1" ht="25.5">
      <c r="A103" s="171">
        <f t="shared" si="57"/>
        <v>77</v>
      </c>
      <c r="B103" s="87" t="s">
        <v>205</v>
      </c>
      <c r="C103" s="172" t="s">
        <v>206</v>
      </c>
      <c r="D103" s="87" t="s">
        <v>64</v>
      </c>
      <c r="E103" s="87" t="s">
        <v>65</v>
      </c>
      <c r="F103" s="87"/>
      <c r="G103" s="87"/>
      <c r="H103" s="174">
        <v>43556</v>
      </c>
      <c r="I103" s="174">
        <v>43556</v>
      </c>
      <c r="J103" s="175">
        <v>500000</v>
      </c>
      <c r="K103" s="121">
        <v>7.7499999999999999E-2</v>
      </c>
      <c r="L103" s="63">
        <v>7.4999999999999997E-2</v>
      </c>
      <c r="M103" s="176">
        <v>0.9</v>
      </c>
      <c r="N103" s="177">
        <v>8</v>
      </c>
      <c r="O103" s="177"/>
      <c r="P103" s="176">
        <v>12</v>
      </c>
      <c r="Q103" s="177">
        <f t="shared" si="59"/>
        <v>23250</v>
      </c>
      <c r="R103" s="177">
        <f t="shared" si="55"/>
        <v>303328.0329491595</v>
      </c>
      <c r="S103" s="177">
        <f t="shared" si="60"/>
        <v>14104.753532135917</v>
      </c>
      <c r="T103" s="177">
        <f t="shared" si="56"/>
        <v>9145.2464678640827</v>
      </c>
      <c r="U103" s="178">
        <v>0.606656065898319</v>
      </c>
      <c r="V103" s="177"/>
      <c r="W103" s="176"/>
      <c r="X103" s="177">
        <f t="shared" si="51"/>
        <v>303328.0329491595</v>
      </c>
      <c r="Y103" s="177">
        <f t="shared" si="51"/>
        <v>14104.753532135917</v>
      </c>
      <c r="Z103" s="179">
        <f t="shared" si="52"/>
        <v>303328.0329491595</v>
      </c>
      <c r="AA103" s="179">
        <f t="shared" si="52"/>
        <v>14104.753532135917</v>
      </c>
      <c r="AB103" s="179"/>
      <c r="AC103" s="179"/>
      <c r="AD103" s="179">
        <f t="shared" si="58"/>
        <v>14104.753532135917</v>
      </c>
      <c r="AE103" s="180">
        <v>242662.42635932763</v>
      </c>
      <c r="AF103" s="180">
        <f t="shared" si="61"/>
        <v>269624.91817703069</v>
      </c>
      <c r="AG103" s="180"/>
      <c r="AH103" s="104"/>
      <c r="AI103" s="104"/>
      <c r="AJ103" s="104"/>
      <c r="AK103" s="295">
        <v>13995.39</v>
      </c>
      <c r="AL103" s="295"/>
      <c r="AM103" s="104">
        <f t="shared" si="53"/>
        <v>109.36353213591792</v>
      </c>
      <c r="AN103" s="104"/>
      <c r="AO103" s="104"/>
      <c r="AP103" s="104"/>
      <c r="AQ103" s="104">
        <f t="shared" si="50"/>
        <v>109.36353213591792</v>
      </c>
      <c r="AR103" s="104"/>
      <c r="AS103" s="69">
        <f t="shared" si="39"/>
        <v>109.36353213591792</v>
      </c>
      <c r="AT103" s="104">
        <f t="shared" si="40"/>
        <v>0</v>
      </c>
      <c r="AU103" s="181">
        <f t="shared" si="62"/>
        <v>303328.0329491595</v>
      </c>
      <c r="AV103" s="181"/>
      <c r="AW103" s="181"/>
      <c r="AX103" s="182"/>
      <c r="AY103" s="182"/>
      <c r="AZ103" s="181">
        <v>465000</v>
      </c>
      <c r="BA103" s="181"/>
      <c r="BB103" s="108">
        <f t="shared" si="54"/>
        <v>-161671.9670508405</v>
      </c>
      <c r="BC103" s="108">
        <f t="shared" si="63"/>
        <v>2687.890190744527</v>
      </c>
      <c r="BD103" s="183"/>
      <c r="BE103" s="183"/>
      <c r="BF103" s="183"/>
      <c r="BG103" s="110">
        <f t="shared" si="64"/>
        <v>3135.8718892019479</v>
      </c>
      <c r="BH103" s="110"/>
      <c r="BI103" s="110">
        <f t="shared" si="41"/>
        <v>109.36353213591792</v>
      </c>
      <c r="BJ103" s="116">
        <f t="shared" si="42"/>
        <v>4860.6014282630185</v>
      </c>
      <c r="BK103" s="116"/>
      <c r="BL103" s="79"/>
      <c r="BM103" s="184"/>
    </row>
    <row r="104" spans="1:66" s="81" customFormat="1" ht="25.5">
      <c r="A104" s="56">
        <f t="shared" si="57"/>
        <v>78</v>
      </c>
      <c r="B104" s="57" t="s">
        <v>207</v>
      </c>
      <c r="C104" s="58" t="s">
        <v>208</v>
      </c>
      <c r="D104" s="57" t="s">
        <v>64</v>
      </c>
      <c r="E104" s="57" t="s">
        <v>65</v>
      </c>
      <c r="F104" s="57"/>
      <c r="G104" s="57"/>
      <c r="H104" s="60">
        <v>43556</v>
      </c>
      <c r="I104" s="60">
        <v>43556</v>
      </c>
      <c r="J104" s="62">
        <v>600000</v>
      </c>
      <c r="K104" s="63">
        <v>7.7499999999999999E-2</v>
      </c>
      <c r="L104" s="63">
        <v>7.4999999999999997E-2</v>
      </c>
      <c r="M104" s="64">
        <v>0.9</v>
      </c>
      <c r="N104" s="65">
        <v>8</v>
      </c>
      <c r="O104" s="65">
        <v>4</v>
      </c>
      <c r="P104" s="64">
        <v>12</v>
      </c>
      <c r="Q104" s="65">
        <f t="shared" si="59"/>
        <v>27900</v>
      </c>
      <c r="R104" s="65">
        <f t="shared" si="55"/>
        <v>363993.63953899138</v>
      </c>
      <c r="S104" s="65">
        <f t="shared" si="60"/>
        <v>16925.704238563099</v>
      </c>
      <c r="T104" s="65">
        <f t="shared" si="56"/>
        <v>10974.295761436901</v>
      </c>
      <c r="U104" s="66">
        <v>0.606656065898319</v>
      </c>
      <c r="V104" s="65"/>
      <c r="W104" s="64"/>
      <c r="X104" s="65">
        <f t="shared" si="51"/>
        <v>363993.63953899138</v>
      </c>
      <c r="Y104" s="65">
        <f t="shared" si="51"/>
        <v>16925.704238563099</v>
      </c>
      <c r="Z104" s="67">
        <f t="shared" si="52"/>
        <v>363993.63953899138</v>
      </c>
      <c r="AA104" s="67">
        <f t="shared" si="52"/>
        <v>16925.704238563099</v>
      </c>
      <c r="AB104" s="67"/>
      <c r="AC104" s="67"/>
      <c r="AD104" s="67">
        <f t="shared" si="58"/>
        <v>16925.704238563099</v>
      </c>
      <c r="AE104" s="68">
        <v>291194.91163119313</v>
      </c>
      <c r="AF104" s="68">
        <f t="shared" si="61"/>
        <v>323549.90181243682</v>
      </c>
      <c r="AG104" s="68"/>
      <c r="AH104" s="69"/>
      <c r="AI104" s="69"/>
      <c r="AJ104" s="70"/>
      <c r="AK104" s="70"/>
      <c r="AL104" s="71"/>
      <c r="AM104" s="69">
        <f t="shared" si="53"/>
        <v>16925.704238563099</v>
      </c>
      <c r="AN104" s="69"/>
      <c r="AO104" s="69"/>
      <c r="AP104" s="69"/>
      <c r="AQ104" s="69">
        <f t="shared" si="50"/>
        <v>16925.704238563099</v>
      </c>
      <c r="AR104" s="69"/>
      <c r="AS104" s="69">
        <f t="shared" si="39"/>
        <v>16925.704238563099</v>
      </c>
      <c r="AT104" s="69">
        <f t="shared" si="40"/>
        <v>13500</v>
      </c>
      <c r="AU104" s="72">
        <f t="shared" si="62"/>
        <v>363993.63953899138</v>
      </c>
      <c r="AV104" s="72"/>
      <c r="AW104" s="72"/>
      <c r="AX104" s="73"/>
      <c r="AY104" s="74"/>
      <c r="AZ104" s="74"/>
      <c r="BA104" s="75"/>
      <c r="BB104" s="76">
        <f t="shared" si="54"/>
        <v>363993.63953899138</v>
      </c>
      <c r="BC104" s="76">
        <f t="shared" si="63"/>
        <v>415992.73090170452</v>
      </c>
      <c r="BD104" s="77"/>
      <c r="BE104" s="77"/>
      <c r="BF104" s="77"/>
      <c r="BG104" s="78">
        <f t="shared" si="64"/>
        <v>485324.85271865525</v>
      </c>
      <c r="BH104" s="78"/>
      <c r="BI104" s="78">
        <f t="shared" si="41"/>
        <v>3425.7042385630994</v>
      </c>
      <c r="BJ104" s="79">
        <f t="shared" si="42"/>
        <v>752253.52171391563</v>
      </c>
      <c r="BK104" s="79">
        <v>600000</v>
      </c>
      <c r="BL104" s="79">
        <v>700000</v>
      </c>
      <c r="BM104" s="82" t="s">
        <v>72</v>
      </c>
      <c r="BN104" s="83" t="s">
        <v>73</v>
      </c>
    </row>
    <row r="105" spans="1:66" s="81" customFormat="1" ht="25.5">
      <c r="A105" s="56">
        <f t="shared" si="57"/>
        <v>79</v>
      </c>
      <c r="B105" s="57" t="s">
        <v>209</v>
      </c>
      <c r="C105" s="58" t="s">
        <v>210</v>
      </c>
      <c r="D105" s="57" t="s">
        <v>64</v>
      </c>
      <c r="E105" s="57" t="s">
        <v>65</v>
      </c>
      <c r="F105" s="57"/>
      <c r="G105" s="57"/>
      <c r="H105" s="60">
        <v>43497</v>
      </c>
      <c r="I105" s="61" t="s">
        <v>94</v>
      </c>
      <c r="J105" s="62">
        <v>10000000</v>
      </c>
      <c r="K105" s="63">
        <v>7.7499999999999999E-2</v>
      </c>
      <c r="L105" s="63">
        <v>7.4999999999999997E-2</v>
      </c>
      <c r="M105" s="64">
        <v>0.9</v>
      </c>
      <c r="N105" s="65">
        <v>10</v>
      </c>
      <c r="O105" s="65">
        <v>4</v>
      </c>
      <c r="P105" s="64">
        <v>12</v>
      </c>
      <c r="Q105" s="65">
        <f t="shared" si="59"/>
        <v>581250</v>
      </c>
      <c r="R105" s="65">
        <f t="shared" si="55"/>
        <v>6066560.6589831896</v>
      </c>
      <c r="S105" s="65">
        <f t="shared" si="60"/>
        <v>352618.83830339788</v>
      </c>
      <c r="T105" s="65">
        <f t="shared" si="56"/>
        <v>228631.16169660212</v>
      </c>
      <c r="U105" s="66">
        <v>0.606656065898319</v>
      </c>
      <c r="V105" s="65"/>
      <c r="W105" s="64"/>
      <c r="X105" s="65">
        <f t="shared" si="51"/>
        <v>6066560.6589831896</v>
      </c>
      <c r="Y105" s="65">
        <f t="shared" si="51"/>
        <v>352618.83830339788</v>
      </c>
      <c r="Z105" s="67">
        <f t="shared" si="52"/>
        <v>6066560.6589831896</v>
      </c>
      <c r="AA105" s="67">
        <f t="shared" si="52"/>
        <v>352618.83830339788</v>
      </c>
      <c r="AB105" s="67"/>
      <c r="AC105" s="67"/>
      <c r="AD105" s="67">
        <f t="shared" si="58"/>
        <v>352618.83830339788</v>
      </c>
      <c r="AE105" s="68">
        <v>6066560.6589831896</v>
      </c>
      <c r="AF105" s="68">
        <f t="shared" si="61"/>
        <v>6740622.9544257652</v>
      </c>
      <c r="AG105" s="68">
        <v>325500</v>
      </c>
      <c r="AH105" s="69"/>
      <c r="AI105" s="69"/>
      <c r="AJ105" s="70"/>
      <c r="AK105" s="70"/>
      <c r="AL105" s="71"/>
      <c r="AM105" s="69">
        <f t="shared" si="53"/>
        <v>27118.838303397875</v>
      </c>
      <c r="AN105" s="69"/>
      <c r="AO105" s="69"/>
      <c r="AP105" s="69"/>
      <c r="AQ105" s="69">
        <f t="shared" si="50"/>
        <v>27118.838303397875</v>
      </c>
      <c r="AR105" s="69"/>
      <c r="AS105" s="69">
        <f t="shared" si="39"/>
        <v>27118.838303397875</v>
      </c>
      <c r="AT105" s="69">
        <f t="shared" si="40"/>
        <v>27118.838249999997</v>
      </c>
      <c r="AU105" s="72">
        <f t="shared" si="62"/>
        <v>7583200.8237289861</v>
      </c>
      <c r="AV105" s="296">
        <v>7000000</v>
      </c>
      <c r="AW105" s="296"/>
      <c r="AX105" s="73"/>
      <c r="AY105" s="74"/>
      <c r="AZ105" s="74"/>
      <c r="BA105" s="75"/>
      <c r="BB105" s="76">
        <f t="shared" si="54"/>
        <v>583200.82372898608</v>
      </c>
      <c r="BC105" s="76">
        <f t="shared" si="63"/>
        <v>666515.22711884172</v>
      </c>
      <c r="BD105" s="77"/>
      <c r="BE105" s="77"/>
      <c r="BF105" s="77"/>
      <c r="BG105" s="78">
        <f t="shared" si="64"/>
        <v>777601.09830531536</v>
      </c>
      <c r="BH105" s="78"/>
      <c r="BI105" s="78">
        <f t="shared" si="41"/>
        <v>5.3397878218675032E-5</v>
      </c>
      <c r="BJ105" s="79">
        <f t="shared" si="42"/>
        <v>1205281.702373239</v>
      </c>
      <c r="BK105" s="79">
        <v>1205281.7</v>
      </c>
      <c r="BL105" s="79">
        <v>3000000</v>
      </c>
      <c r="BM105" s="80"/>
      <c r="BN105" s="81" t="s">
        <v>64</v>
      </c>
    </row>
    <row r="106" spans="1:66" s="81" customFormat="1" ht="25.5">
      <c r="A106" s="56">
        <f t="shared" si="57"/>
        <v>80</v>
      </c>
      <c r="B106" s="57" t="s">
        <v>211</v>
      </c>
      <c r="C106" s="58" t="s">
        <v>212</v>
      </c>
      <c r="D106" s="57" t="s">
        <v>64</v>
      </c>
      <c r="E106" s="57" t="s">
        <v>65</v>
      </c>
      <c r="F106" s="57"/>
      <c r="G106" s="57"/>
      <c r="H106" s="60">
        <v>43525</v>
      </c>
      <c r="I106" s="60" t="s">
        <v>117</v>
      </c>
      <c r="J106" s="62">
        <v>300000</v>
      </c>
      <c r="K106" s="63">
        <v>7.7499999999999999E-2</v>
      </c>
      <c r="L106" s="63">
        <v>7.4999999999999997E-2</v>
      </c>
      <c r="M106" s="64">
        <v>0.9</v>
      </c>
      <c r="N106" s="65">
        <v>9</v>
      </c>
      <c r="O106" s="65">
        <v>4</v>
      </c>
      <c r="P106" s="64">
        <v>12</v>
      </c>
      <c r="Q106" s="65">
        <f t="shared" si="59"/>
        <v>15693.75</v>
      </c>
      <c r="R106" s="65">
        <f t="shared" si="55"/>
        <v>181996.81976949569</v>
      </c>
      <c r="S106" s="65">
        <f t="shared" si="60"/>
        <v>9520.7086341917438</v>
      </c>
      <c r="T106" s="65">
        <f t="shared" si="56"/>
        <v>6173.0413658082562</v>
      </c>
      <c r="U106" s="66">
        <v>0.606656065898319</v>
      </c>
      <c r="V106" s="65"/>
      <c r="W106" s="64"/>
      <c r="X106" s="65">
        <f t="shared" si="51"/>
        <v>181996.81976949569</v>
      </c>
      <c r="Y106" s="65">
        <f t="shared" si="51"/>
        <v>9520.7086341917438</v>
      </c>
      <c r="Z106" s="67">
        <f t="shared" si="52"/>
        <v>181996.81976949569</v>
      </c>
      <c r="AA106" s="67">
        <f t="shared" si="52"/>
        <v>9520.7086341917438</v>
      </c>
      <c r="AB106" s="67"/>
      <c r="AC106" s="67"/>
      <c r="AD106" s="67">
        <f t="shared" si="58"/>
        <v>9520.7086341917438</v>
      </c>
      <c r="AE106" s="68">
        <v>163797.13779254613</v>
      </c>
      <c r="AF106" s="68">
        <f t="shared" si="61"/>
        <v>181996.81976949572</v>
      </c>
      <c r="AG106" s="68"/>
      <c r="AH106" s="69"/>
      <c r="AI106" s="69"/>
      <c r="AJ106" s="70"/>
      <c r="AK106" s="70"/>
      <c r="AL106" s="71"/>
      <c r="AM106" s="69">
        <f t="shared" si="53"/>
        <v>9520.7086341917438</v>
      </c>
      <c r="AN106" s="69"/>
      <c r="AO106" s="69"/>
      <c r="AP106" s="69"/>
      <c r="AQ106" s="69">
        <f t="shared" si="50"/>
        <v>9520.7086341917438</v>
      </c>
      <c r="AR106" s="69"/>
      <c r="AS106" s="69">
        <f t="shared" si="39"/>
        <v>9520.7086341917438</v>
      </c>
      <c r="AT106" s="69">
        <f t="shared" si="40"/>
        <v>6750</v>
      </c>
      <c r="AU106" s="72">
        <f t="shared" si="62"/>
        <v>204746.42224068267</v>
      </c>
      <c r="AV106" s="72"/>
      <c r="AW106" s="72"/>
      <c r="AX106" s="73"/>
      <c r="AY106" s="74"/>
      <c r="AZ106" s="74"/>
      <c r="BA106" s="75"/>
      <c r="BB106" s="76">
        <f t="shared" si="54"/>
        <v>204746.42224068267</v>
      </c>
      <c r="BC106" s="76">
        <f t="shared" si="63"/>
        <v>233995.91113220877</v>
      </c>
      <c r="BD106" s="77"/>
      <c r="BE106" s="77"/>
      <c r="BF106" s="77"/>
      <c r="BG106" s="78">
        <f t="shared" si="64"/>
        <v>272995.22965424357</v>
      </c>
      <c r="BH106" s="78"/>
      <c r="BI106" s="78">
        <f t="shared" si="41"/>
        <v>2770.7086341917438</v>
      </c>
      <c r="BJ106" s="79">
        <f t="shared" si="42"/>
        <v>423142.60596407752</v>
      </c>
      <c r="BK106" s="79">
        <v>300000</v>
      </c>
      <c r="BL106" s="79"/>
      <c r="BM106" s="190" t="s">
        <v>213</v>
      </c>
      <c r="BN106" s="81" t="s">
        <v>64</v>
      </c>
    </row>
    <row r="107" spans="1:66" s="112" customFormat="1" ht="25.5">
      <c r="A107" s="84">
        <f t="shared" si="57"/>
        <v>81</v>
      </c>
      <c r="B107" s="85" t="s">
        <v>214</v>
      </c>
      <c r="C107" s="86" t="s">
        <v>215</v>
      </c>
      <c r="D107" s="85" t="s">
        <v>64</v>
      </c>
      <c r="E107" s="87" t="s">
        <v>65</v>
      </c>
      <c r="F107" s="89"/>
      <c r="G107" s="89"/>
      <c r="H107" s="90">
        <v>43556</v>
      </c>
      <c r="I107" s="90">
        <v>43556</v>
      </c>
      <c r="J107" s="91">
        <v>8000000</v>
      </c>
      <c r="K107" s="92">
        <v>7.7499999999999999E-2</v>
      </c>
      <c r="L107" s="63">
        <v>7.4999999999999997E-2</v>
      </c>
      <c r="M107" s="93">
        <v>0.9</v>
      </c>
      <c r="N107" s="94">
        <v>8</v>
      </c>
      <c r="O107" s="94"/>
      <c r="P107" s="93">
        <v>12</v>
      </c>
      <c r="Q107" s="95">
        <f t="shared" si="59"/>
        <v>372000</v>
      </c>
      <c r="R107" s="94">
        <f t="shared" si="55"/>
        <v>4853248.5271865521</v>
      </c>
      <c r="S107" s="95">
        <f t="shared" si="60"/>
        <v>225676.05651417468</v>
      </c>
      <c r="T107" s="95">
        <f t="shared" si="56"/>
        <v>146323.94348582532</v>
      </c>
      <c r="U107" s="96">
        <v>0.606656065898319</v>
      </c>
      <c r="V107" s="254">
        <v>8000000</v>
      </c>
      <c r="W107" s="122">
        <v>465000</v>
      </c>
      <c r="X107" s="95">
        <f t="shared" si="51"/>
        <v>-3146751.4728134479</v>
      </c>
      <c r="Y107" s="95">
        <f t="shared" si="51"/>
        <v>-239323.94348582532</v>
      </c>
      <c r="Z107" s="98">
        <f t="shared" si="52"/>
        <v>-3146751.4728134479</v>
      </c>
      <c r="AA107" s="98">
        <f t="shared" si="52"/>
        <v>-239323.94348582532</v>
      </c>
      <c r="AB107" s="98"/>
      <c r="AC107" s="98"/>
      <c r="AD107" s="98">
        <f t="shared" si="58"/>
        <v>-239323.94348582532</v>
      </c>
      <c r="AE107" s="100">
        <v>-4117401.178250758</v>
      </c>
      <c r="AF107" s="100">
        <f t="shared" si="61"/>
        <v>-4574890.198056397</v>
      </c>
      <c r="AG107" s="100"/>
      <c r="AH107" s="101"/>
      <c r="AI107" s="101"/>
      <c r="AJ107" s="101"/>
      <c r="AK107" s="101"/>
      <c r="AL107" s="101"/>
      <c r="AM107" s="104">
        <f t="shared" si="53"/>
        <v>-239323.94348582532</v>
      </c>
      <c r="AN107" s="104"/>
      <c r="AO107" s="104"/>
      <c r="AP107" s="104"/>
      <c r="AQ107" s="104">
        <f t="shared" si="50"/>
        <v>-239323.94348582532</v>
      </c>
      <c r="AR107" s="104"/>
      <c r="AS107" s="104">
        <f t="shared" si="39"/>
        <v>-239323.94348582532</v>
      </c>
      <c r="AT107" s="104">
        <f t="shared" si="40"/>
        <v>0</v>
      </c>
      <c r="AU107" s="105">
        <f t="shared" si="62"/>
        <v>-5146751.472813447</v>
      </c>
      <c r="AV107" s="106"/>
      <c r="AW107" s="106"/>
      <c r="AX107" s="107"/>
      <c r="AY107" s="107"/>
      <c r="AZ107" s="107"/>
      <c r="BA107" s="107"/>
      <c r="BB107" s="108">
        <f t="shared" si="54"/>
        <v>-5146751.472813447</v>
      </c>
      <c r="BC107" s="108">
        <f t="shared" si="63"/>
        <v>-5882001.6832153685</v>
      </c>
      <c r="BD107" s="109"/>
      <c r="BE107" s="109"/>
      <c r="BF107" s="109"/>
      <c r="BG107" s="110">
        <f t="shared" si="64"/>
        <v>-6862335.297084596</v>
      </c>
      <c r="BH107" s="110"/>
      <c r="BI107" s="110"/>
      <c r="BJ107" s="123">
        <f t="shared" si="42"/>
        <v>-10636619.710481126</v>
      </c>
      <c r="BK107" s="116"/>
      <c r="BL107" s="79"/>
      <c r="BM107" s="111"/>
    </row>
    <row r="108" spans="1:66" s="170" customFormat="1" ht="25.5" hidden="1">
      <c r="A108" s="150"/>
      <c r="B108" s="151" t="s">
        <v>214</v>
      </c>
      <c r="C108" s="152" t="s">
        <v>215</v>
      </c>
      <c r="D108" s="153"/>
      <c r="E108" s="127" t="s">
        <v>65</v>
      </c>
      <c r="F108" s="153"/>
      <c r="G108" s="153"/>
      <c r="H108" s="155"/>
      <c r="I108" s="155"/>
      <c r="J108" s="156"/>
      <c r="K108" s="157"/>
      <c r="L108" s="63">
        <v>7.4999999999999997E-2</v>
      </c>
      <c r="M108" s="64">
        <v>0.9</v>
      </c>
      <c r="N108" s="65">
        <v>9</v>
      </c>
      <c r="O108" s="65">
        <v>4</v>
      </c>
      <c r="P108" s="64">
        <v>12</v>
      </c>
      <c r="Q108" s="158"/>
      <c r="R108" s="158"/>
      <c r="S108" s="158"/>
      <c r="T108" s="158"/>
      <c r="U108" s="159"/>
      <c r="V108" s="192"/>
      <c r="W108" s="193"/>
      <c r="X108" s="95"/>
      <c r="Y108" s="95"/>
      <c r="Z108" s="98"/>
      <c r="AA108" s="98"/>
      <c r="AB108" s="98"/>
      <c r="AC108" s="98"/>
      <c r="AD108" s="98"/>
      <c r="AE108" s="100"/>
      <c r="AF108" s="100"/>
      <c r="AG108" s="100"/>
      <c r="AH108" s="101"/>
      <c r="AI108" s="101"/>
      <c r="AJ108" s="101"/>
      <c r="AK108" s="101"/>
      <c r="AL108" s="101"/>
      <c r="AM108" s="104"/>
      <c r="AN108" s="104"/>
      <c r="AO108" s="104"/>
      <c r="AP108" s="104"/>
      <c r="AQ108" s="104"/>
      <c r="AR108" s="104"/>
      <c r="AS108" s="104">
        <f t="shared" si="39"/>
        <v>0</v>
      </c>
      <c r="AT108" s="104">
        <f t="shared" si="40"/>
        <v>0</v>
      </c>
      <c r="AU108" s="105"/>
      <c r="AV108" s="106"/>
      <c r="AW108" s="106"/>
      <c r="AX108" s="107"/>
      <c r="AY108" s="107"/>
      <c r="AZ108" s="107"/>
      <c r="BA108" s="107"/>
      <c r="BB108" s="108"/>
      <c r="BC108" s="108"/>
      <c r="BD108" s="109"/>
      <c r="BE108" s="109"/>
      <c r="BF108" s="109"/>
      <c r="BG108" s="110"/>
      <c r="BH108" s="110"/>
      <c r="BI108" s="110">
        <f t="shared" si="41"/>
        <v>0</v>
      </c>
      <c r="BJ108" s="116">
        <f t="shared" si="42"/>
        <v>0</v>
      </c>
      <c r="BK108" s="116"/>
      <c r="BL108" s="169">
        <v>3000000</v>
      </c>
      <c r="BM108" s="186" t="s">
        <v>72</v>
      </c>
      <c r="BN108" s="170" t="s">
        <v>73</v>
      </c>
    </row>
    <row r="109" spans="1:66" s="112" customFormat="1" ht="25.5">
      <c r="A109" s="84">
        <f>A107+1</f>
        <v>82</v>
      </c>
      <c r="B109" s="85" t="s">
        <v>216</v>
      </c>
      <c r="C109" s="86" t="s">
        <v>217</v>
      </c>
      <c r="D109" s="85" t="s">
        <v>64</v>
      </c>
      <c r="E109" s="87" t="s">
        <v>65</v>
      </c>
      <c r="F109" s="89"/>
      <c r="G109" s="89"/>
      <c r="H109" s="90">
        <v>43556</v>
      </c>
      <c r="I109" s="90">
        <v>43556</v>
      </c>
      <c r="J109" s="91">
        <v>10000000</v>
      </c>
      <c r="K109" s="92">
        <v>7.7499999999999999E-2</v>
      </c>
      <c r="L109" s="63">
        <v>7.4999999999999997E-2</v>
      </c>
      <c r="M109" s="93">
        <v>0.9</v>
      </c>
      <c r="N109" s="94">
        <v>8</v>
      </c>
      <c r="O109" s="94"/>
      <c r="P109" s="93">
        <v>12</v>
      </c>
      <c r="Q109" s="95">
        <f>J109*K109*M109*N109/P109</f>
        <v>465000</v>
      </c>
      <c r="R109" s="94">
        <f t="shared" si="55"/>
        <v>6066560.6589831896</v>
      </c>
      <c r="S109" s="95">
        <f>R109*K109*M109*N109/P109</f>
        <v>282095.07064271829</v>
      </c>
      <c r="T109" s="95">
        <f t="shared" si="56"/>
        <v>182904.92935728171</v>
      </c>
      <c r="U109" s="96">
        <v>0.606656065898319</v>
      </c>
      <c r="V109" s="254">
        <v>10000000</v>
      </c>
      <c r="W109" s="122">
        <v>581250</v>
      </c>
      <c r="X109" s="95">
        <f t="shared" si="51"/>
        <v>-3933439.3410168104</v>
      </c>
      <c r="Y109" s="95">
        <f t="shared" si="51"/>
        <v>-299154.92935728171</v>
      </c>
      <c r="Z109" s="98">
        <f t="shared" si="52"/>
        <v>-3933439.3410168104</v>
      </c>
      <c r="AA109" s="98">
        <f t="shared" si="52"/>
        <v>-299154.92935728171</v>
      </c>
      <c r="AB109" s="98"/>
      <c r="AC109" s="98"/>
      <c r="AD109" s="98">
        <f t="shared" si="58"/>
        <v>-299154.92935728171</v>
      </c>
      <c r="AE109" s="100">
        <v>-5146751.4728134479</v>
      </c>
      <c r="AF109" s="100">
        <f>AD109/K109/M109/9*P109</f>
        <v>-5718612.7475704979</v>
      </c>
      <c r="AG109" s="100"/>
      <c r="AH109" s="101"/>
      <c r="AI109" s="101"/>
      <c r="AJ109" s="101"/>
      <c r="AK109" s="101"/>
      <c r="AL109" s="101"/>
      <c r="AM109" s="104">
        <f t="shared" si="53"/>
        <v>-299154.92935728171</v>
      </c>
      <c r="AN109" s="104"/>
      <c r="AO109" s="104"/>
      <c r="AP109" s="104"/>
      <c r="AQ109" s="104">
        <f t="shared" si="50"/>
        <v>-299154.92935728171</v>
      </c>
      <c r="AR109" s="104"/>
      <c r="AS109" s="104">
        <f t="shared" si="39"/>
        <v>-299154.92935728171</v>
      </c>
      <c r="AT109" s="104">
        <f t="shared" si="40"/>
        <v>0</v>
      </c>
      <c r="AU109" s="105">
        <f>AD109/K109/M109/8*P109</f>
        <v>-6433439.3410168104</v>
      </c>
      <c r="AV109" s="106"/>
      <c r="AW109" s="106"/>
      <c r="AX109" s="107"/>
      <c r="AY109" s="107"/>
      <c r="AZ109" s="107"/>
      <c r="BA109" s="107"/>
      <c r="BB109" s="108">
        <f t="shared" si="54"/>
        <v>-6433439.3410168104</v>
      </c>
      <c r="BC109" s="108">
        <f>AM109/K109/M109/7*P109</f>
        <v>-7352502.1040192135</v>
      </c>
      <c r="BD109" s="109"/>
      <c r="BE109" s="109"/>
      <c r="BF109" s="109"/>
      <c r="BG109" s="110">
        <f>AQ109/K109/M109/6*P109</f>
        <v>-8577919.1213557478</v>
      </c>
      <c r="BH109" s="110"/>
      <c r="BI109" s="110">
        <f t="shared" si="41"/>
        <v>-299154.92935728171</v>
      </c>
      <c r="BJ109" s="123">
        <f t="shared" si="42"/>
        <v>-13295774.63810141</v>
      </c>
      <c r="BK109" s="116"/>
      <c r="BL109" s="79"/>
      <c r="BM109" s="111"/>
    </row>
    <row r="110" spans="1:66" s="170" customFormat="1" ht="25.5" hidden="1">
      <c r="A110" s="150"/>
      <c r="B110" s="151" t="s">
        <v>216</v>
      </c>
      <c r="C110" s="152" t="s">
        <v>217</v>
      </c>
      <c r="D110" s="153"/>
      <c r="E110" s="127" t="s">
        <v>65</v>
      </c>
      <c r="F110" s="153"/>
      <c r="G110" s="153"/>
      <c r="H110" s="155"/>
      <c r="I110" s="155"/>
      <c r="J110" s="156"/>
      <c r="K110" s="157"/>
      <c r="L110" s="63">
        <v>7.4999999999999997E-2</v>
      </c>
      <c r="M110" s="64">
        <v>0.9</v>
      </c>
      <c r="N110" s="65">
        <v>9</v>
      </c>
      <c r="O110" s="65">
        <v>4</v>
      </c>
      <c r="P110" s="64">
        <v>12</v>
      </c>
      <c r="Q110" s="158"/>
      <c r="R110" s="158"/>
      <c r="S110" s="158"/>
      <c r="T110" s="158"/>
      <c r="U110" s="159"/>
      <c r="V110" s="192"/>
      <c r="W110" s="193"/>
      <c r="X110" s="95"/>
      <c r="Y110" s="95"/>
      <c r="Z110" s="98"/>
      <c r="AA110" s="98"/>
      <c r="AB110" s="98"/>
      <c r="AC110" s="98"/>
      <c r="AD110" s="98"/>
      <c r="AE110" s="100"/>
      <c r="AF110" s="100"/>
      <c r="AG110" s="100"/>
      <c r="AH110" s="101"/>
      <c r="AI110" s="101"/>
      <c r="AJ110" s="101"/>
      <c r="AK110" s="101"/>
      <c r="AL110" s="101"/>
      <c r="AM110" s="104"/>
      <c r="AN110" s="104"/>
      <c r="AO110" s="104"/>
      <c r="AP110" s="104"/>
      <c r="AQ110" s="104"/>
      <c r="AR110" s="104"/>
      <c r="AS110" s="104">
        <f t="shared" si="39"/>
        <v>0</v>
      </c>
      <c r="AT110" s="104">
        <f t="shared" si="40"/>
        <v>0</v>
      </c>
      <c r="AU110" s="105"/>
      <c r="AV110" s="106"/>
      <c r="AW110" s="106"/>
      <c r="AX110" s="107"/>
      <c r="AY110" s="107"/>
      <c r="AZ110" s="107"/>
      <c r="BA110" s="107"/>
      <c r="BB110" s="108"/>
      <c r="BC110" s="108"/>
      <c r="BD110" s="109"/>
      <c r="BE110" s="109"/>
      <c r="BF110" s="109"/>
      <c r="BG110" s="110"/>
      <c r="BH110" s="110"/>
      <c r="BI110" s="110">
        <f t="shared" si="41"/>
        <v>0</v>
      </c>
      <c r="BJ110" s="116">
        <f t="shared" si="42"/>
        <v>0</v>
      </c>
      <c r="BK110" s="116"/>
      <c r="BL110" s="169">
        <v>3000000</v>
      </c>
      <c r="BM110" s="186" t="s">
        <v>72</v>
      </c>
      <c r="BN110" s="170" t="s">
        <v>73</v>
      </c>
    </row>
    <row r="111" spans="1:66" s="112" customFormat="1" ht="25.5">
      <c r="A111" s="84">
        <f>A109+1</f>
        <v>83</v>
      </c>
      <c r="B111" s="85" t="s">
        <v>218</v>
      </c>
      <c r="C111" s="86" t="s">
        <v>219</v>
      </c>
      <c r="D111" s="85" t="s">
        <v>64</v>
      </c>
      <c r="E111" s="87" t="s">
        <v>65</v>
      </c>
      <c r="F111" s="89"/>
      <c r="G111" s="89"/>
      <c r="H111" s="90">
        <v>43525</v>
      </c>
      <c r="I111" s="90">
        <v>43525</v>
      </c>
      <c r="J111" s="91">
        <v>15000000</v>
      </c>
      <c r="K111" s="92">
        <v>7.7499999999999999E-2</v>
      </c>
      <c r="L111" s="63">
        <v>7.4999999999999997E-2</v>
      </c>
      <c r="M111" s="93">
        <v>0.9</v>
      </c>
      <c r="N111" s="94">
        <v>9</v>
      </c>
      <c r="O111" s="94"/>
      <c r="P111" s="93">
        <v>12</v>
      </c>
      <c r="Q111" s="95">
        <f>J111*K111*M111*N111/P111</f>
        <v>784687.5</v>
      </c>
      <c r="R111" s="94">
        <f t="shared" si="55"/>
        <v>9099840.9884747844</v>
      </c>
      <c r="S111" s="95">
        <f>R111*K111*M111*N111/P111</f>
        <v>476035.43170958717</v>
      </c>
      <c r="T111" s="95">
        <f t="shared" si="56"/>
        <v>308652.06829041283</v>
      </c>
      <c r="U111" s="96">
        <v>0.606656065898319</v>
      </c>
      <c r="V111" s="254">
        <v>15000000</v>
      </c>
      <c r="W111" s="122">
        <v>871875</v>
      </c>
      <c r="X111" s="95">
        <f t="shared" si="51"/>
        <v>-5900159.0115252156</v>
      </c>
      <c r="Y111" s="95">
        <f t="shared" si="51"/>
        <v>-395839.56829041283</v>
      </c>
      <c r="Z111" s="98">
        <f t="shared" si="52"/>
        <v>-5900159.0115252156</v>
      </c>
      <c r="AA111" s="98">
        <f t="shared" si="52"/>
        <v>-395839.56829041283</v>
      </c>
      <c r="AB111" s="98"/>
      <c r="AC111" s="98"/>
      <c r="AD111" s="98">
        <f t="shared" si="58"/>
        <v>-395839.56829041283</v>
      </c>
      <c r="AE111" s="100">
        <v>-6810143.1103726942</v>
      </c>
      <c r="AF111" s="100">
        <f>AD111/K111/M111/9*P111</f>
        <v>-7566825.6781918816</v>
      </c>
      <c r="AG111" s="100"/>
      <c r="AH111" s="101"/>
      <c r="AI111" s="101"/>
      <c r="AJ111" s="101"/>
      <c r="AK111" s="101"/>
      <c r="AL111" s="101"/>
      <c r="AM111" s="104">
        <f t="shared" si="53"/>
        <v>-395839.56829041283</v>
      </c>
      <c r="AN111" s="104"/>
      <c r="AO111" s="104"/>
      <c r="AP111" s="104"/>
      <c r="AQ111" s="104">
        <f t="shared" si="50"/>
        <v>-395839.56829041283</v>
      </c>
      <c r="AR111" s="104"/>
      <c r="AS111" s="104">
        <f t="shared" si="39"/>
        <v>-395839.56829041283</v>
      </c>
      <c r="AT111" s="104">
        <f t="shared" si="40"/>
        <v>0</v>
      </c>
      <c r="AU111" s="105">
        <f>AD111/K111/M111/8*P111</f>
        <v>-8512678.8879658673</v>
      </c>
      <c r="AV111" s="106"/>
      <c r="AW111" s="106"/>
      <c r="AX111" s="107"/>
      <c r="AY111" s="107"/>
      <c r="AZ111" s="107"/>
      <c r="BA111" s="107"/>
      <c r="BB111" s="108">
        <f t="shared" si="54"/>
        <v>-8512678.8879658673</v>
      </c>
      <c r="BC111" s="108">
        <f>AM111/K111/M111/7*P111</f>
        <v>-9728775.8719609901</v>
      </c>
      <c r="BD111" s="109"/>
      <c r="BE111" s="109"/>
      <c r="BF111" s="109"/>
      <c r="BG111" s="110">
        <f>AQ111/K111/M111/6*P111</f>
        <v>-11350238.517287822</v>
      </c>
      <c r="BH111" s="110"/>
      <c r="BI111" s="110"/>
      <c r="BJ111" s="116">
        <f t="shared" si="42"/>
        <v>-17592869.701796129</v>
      </c>
      <c r="BK111" s="116"/>
      <c r="BL111" s="79"/>
      <c r="BM111" s="111"/>
    </row>
    <row r="112" spans="1:66" s="81" customFormat="1" ht="25.5">
      <c r="A112" s="56">
        <f t="shared" si="57"/>
        <v>84</v>
      </c>
      <c r="B112" s="57" t="s">
        <v>467</v>
      </c>
      <c r="C112" s="58" t="s">
        <v>220</v>
      </c>
      <c r="D112" s="57" t="s">
        <v>64</v>
      </c>
      <c r="E112" s="57" t="s">
        <v>65</v>
      </c>
      <c r="F112" s="57"/>
      <c r="G112" s="57"/>
      <c r="H112" s="60">
        <v>43556</v>
      </c>
      <c r="I112" s="60">
        <v>43556</v>
      </c>
      <c r="J112" s="62">
        <v>10000000</v>
      </c>
      <c r="K112" s="63">
        <v>7.7499999999999999E-2</v>
      </c>
      <c r="L112" s="63">
        <v>7.4999999999999997E-2</v>
      </c>
      <c r="M112" s="64">
        <v>0.9</v>
      </c>
      <c r="N112" s="65">
        <v>8</v>
      </c>
      <c r="O112" s="65">
        <v>4</v>
      </c>
      <c r="P112" s="64">
        <v>12</v>
      </c>
      <c r="Q112" s="65">
        <f>J112*K112*M112*N112/P112</f>
        <v>465000</v>
      </c>
      <c r="R112" s="65">
        <f t="shared" si="55"/>
        <v>6066560.6589831896</v>
      </c>
      <c r="S112" s="65">
        <f>R112*K112*M112*N112/P112</f>
        <v>282095.07064271829</v>
      </c>
      <c r="T112" s="65">
        <f t="shared" si="56"/>
        <v>182904.92935728171</v>
      </c>
      <c r="U112" s="66">
        <v>0.606656065898319</v>
      </c>
      <c r="V112" s="65"/>
      <c r="W112" s="64"/>
      <c r="X112" s="65">
        <f t="shared" si="51"/>
        <v>6066560.6589831896</v>
      </c>
      <c r="Y112" s="65">
        <f t="shared" si="51"/>
        <v>282095.07064271829</v>
      </c>
      <c r="Z112" s="67">
        <f t="shared" si="52"/>
        <v>6066560.6589831896</v>
      </c>
      <c r="AA112" s="67">
        <f t="shared" si="52"/>
        <v>282095.07064271829</v>
      </c>
      <c r="AB112" s="67"/>
      <c r="AC112" s="67"/>
      <c r="AD112" s="67">
        <f t="shared" si="58"/>
        <v>282095.07064271829</v>
      </c>
      <c r="AE112" s="68">
        <v>4853248.5271865511</v>
      </c>
      <c r="AF112" s="68">
        <f>AD112/K112/M112/9*P112</f>
        <v>5392498.3635406131</v>
      </c>
      <c r="AG112" s="68"/>
      <c r="AH112" s="69"/>
      <c r="AI112" s="69"/>
      <c r="AJ112" s="70"/>
      <c r="AK112" s="70"/>
      <c r="AL112" s="71"/>
      <c r="AM112" s="69">
        <f t="shared" si="53"/>
        <v>282095.07064271829</v>
      </c>
      <c r="AN112" s="69"/>
      <c r="AO112" s="69"/>
      <c r="AP112" s="69"/>
      <c r="AQ112" s="69">
        <f t="shared" si="50"/>
        <v>282095.07064271829</v>
      </c>
      <c r="AR112" s="69"/>
      <c r="AS112" s="69">
        <f t="shared" si="39"/>
        <v>282095.07064271829</v>
      </c>
      <c r="AT112" s="69">
        <f t="shared" si="40"/>
        <v>225000</v>
      </c>
      <c r="AU112" s="72">
        <f>AD112/K112/M112/8*P112</f>
        <v>6066560.6589831896</v>
      </c>
      <c r="AV112" s="72"/>
      <c r="AW112" s="72"/>
      <c r="AX112" s="73"/>
      <c r="AY112" s="74"/>
      <c r="AZ112" s="74"/>
      <c r="BA112" s="75"/>
      <c r="BB112" s="76">
        <f t="shared" si="54"/>
        <v>6066560.6589831896</v>
      </c>
      <c r="BC112" s="76">
        <f>AM112/K112/M112/7*P112</f>
        <v>6933212.1816950738</v>
      </c>
      <c r="BD112" s="77"/>
      <c r="BE112" s="77"/>
      <c r="BF112" s="77"/>
      <c r="BG112" s="78">
        <f>AQ112/K112/M112/6*P112</f>
        <v>8088747.5453109201</v>
      </c>
      <c r="BH112" s="78"/>
      <c r="BI112" s="78">
        <f t="shared" si="41"/>
        <v>57095.070642718289</v>
      </c>
      <c r="BJ112" s="79">
        <f t="shared" si="42"/>
        <v>12537558.695231924</v>
      </c>
      <c r="BK112" s="79">
        <v>10000000</v>
      </c>
      <c r="BL112" s="79"/>
      <c r="BM112" s="80"/>
      <c r="BN112" s="81" t="s">
        <v>64</v>
      </c>
    </row>
    <row r="113" spans="1:66" s="112" customFormat="1" ht="25.5">
      <c r="A113" s="84">
        <f t="shared" si="57"/>
        <v>85</v>
      </c>
      <c r="B113" s="85" t="s">
        <v>468</v>
      </c>
      <c r="C113" s="86" t="s">
        <v>221</v>
      </c>
      <c r="D113" s="85" t="s">
        <v>64</v>
      </c>
      <c r="E113" s="87" t="s">
        <v>98</v>
      </c>
      <c r="F113" s="89"/>
      <c r="G113" s="89"/>
      <c r="H113" s="90">
        <v>43525</v>
      </c>
      <c r="I113" s="90">
        <v>43525</v>
      </c>
      <c r="J113" s="91">
        <v>25000000</v>
      </c>
      <c r="K113" s="92">
        <v>7.7499999999999999E-2</v>
      </c>
      <c r="L113" s="63">
        <v>7.4999999999999997E-2</v>
      </c>
      <c r="M113" s="93">
        <v>0.9</v>
      </c>
      <c r="N113" s="94">
        <v>9</v>
      </c>
      <c r="O113" s="94"/>
      <c r="P113" s="93">
        <v>12</v>
      </c>
      <c r="Q113" s="95">
        <f>J113*K113*M113*N113/P113</f>
        <v>1307812.5</v>
      </c>
      <c r="R113" s="94">
        <f t="shared" si="55"/>
        <v>15166401.647457974</v>
      </c>
      <c r="S113" s="95">
        <f>R113*K113*M113*N113/P113</f>
        <v>793392.38618264522</v>
      </c>
      <c r="T113" s="95">
        <f t="shared" si="56"/>
        <v>514420.11381735478</v>
      </c>
      <c r="U113" s="96">
        <v>0.606656065898319</v>
      </c>
      <c r="V113" s="254">
        <v>25000000</v>
      </c>
      <c r="W113" s="122">
        <v>1453125</v>
      </c>
      <c r="X113" s="95">
        <f t="shared" si="51"/>
        <v>-9833598.352542026</v>
      </c>
      <c r="Y113" s="95">
        <f t="shared" si="51"/>
        <v>-659732.61381735478</v>
      </c>
      <c r="Z113" s="98">
        <f t="shared" si="52"/>
        <v>-9833598.352542026</v>
      </c>
      <c r="AA113" s="98">
        <f t="shared" si="52"/>
        <v>-659732.61381735478</v>
      </c>
      <c r="AB113" s="98"/>
      <c r="AC113" s="98"/>
      <c r="AD113" s="98">
        <f t="shared" si="58"/>
        <v>-659732.61381735478</v>
      </c>
      <c r="AE113" s="100">
        <v>-11350238.517287824</v>
      </c>
      <c r="AF113" s="100">
        <f>AD113/K113/M113/9*P113</f>
        <v>-12611376.130319804</v>
      </c>
      <c r="AG113" s="100"/>
      <c r="AH113" s="101"/>
      <c r="AI113" s="101"/>
      <c r="AJ113" s="101"/>
      <c r="AK113" s="101"/>
      <c r="AL113" s="101"/>
      <c r="AM113" s="104">
        <f t="shared" si="53"/>
        <v>-659732.61381735478</v>
      </c>
      <c r="AN113" s="104"/>
      <c r="AO113" s="104"/>
      <c r="AP113" s="104"/>
      <c r="AQ113" s="104">
        <f t="shared" si="50"/>
        <v>-659732.61381735478</v>
      </c>
      <c r="AR113" s="104"/>
      <c r="AS113" s="104">
        <f t="shared" si="39"/>
        <v>-659732.61381735478</v>
      </c>
      <c r="AT113" s="104">
        <f t="shared" si="40"/>
        <v>0</v>
      </c>
      <c r="AU113" s="105">
        <f>AD113/K113/M113/8*P113</f>
        <v>-14187798.146609779</v>
      </c>
      <c r="AV113" s="106"/>
      <c r="AW113" s="106"/>
      <c r="AX113" s="107"/>
      <c r="AY113" s="107"/>
      <c r="AZ113" s="107"/>
      <c r="BA113" s="107"/>
      <c r="BB113" s="108">
        <f t="shared" si="54"/>
        <v>-14187798.146609779</v>
      </c>
      <c r="BC113" s="108">
        <f>AM113/K113/M113/7*P113</f>
        <v>-16214626.453268319</v>
      </c>
      <c r="BD113" s="109"/>
      <c r="BE113" s="109"/>
      <c r="BF113" s="109"/>
      <c r="BG113" s="110">
        <f>AQ113/K113/M113/6*P113</f>
        <v>-18917064.195479706</v>
      </c>
      <c r="BH113" s="110"/>
      <c r="BI113" s="110"/>
      <c r="BJ113" s="123">
        <f t="shared" si="42"/>
        <v>-29321449.502993546</v>
      </c>
      <c r="BK113" s="116"/>
      <c r="BL113" s="79"/>
      <c r="BM113" s="111"/>
    </row>
    <row r="114" spans="1:66" s="170" customFormat="1" ht="25.5" hidden="1">
      <c r="A114" s="150"/>
      <c r="B114" s="151" t="s">
        <v>468</v>
      </c>
      <c r="C114" s="152" t="s">
        <v>221</v>
      </c>
      <c r="D114" s="153"/>
      <c r="E114" s="127" t="s">
        <v>98</v>
      </c>
      <c r="F114" s="153"/>
      <c r="G114" s="153"/>
      <c r="H114" s="155"/>
      <c r="I114" s="155"/>
      <c r="J114" s="156"/>
      <c r="K114" s="157"/>
      <c r="L114" s="63">
        <v>7.4999999999999997E-2</v>
      </c>
      <c r="M114" s="64">
        <v>0.9</v>
      </c>
      <c r="N114" s="65">
        <v>9</v>
      </c>
      <c r="O114" s="65">
        <v>4</v>
      </c>
      <c r="P114" s="64">
        <v>12</v>
      </c>
      <c r="Q114" s="158"/>
      <c r="R114" s="158"/>
      <c r="S114" s="158"/>
      <c r="T114" s="158"/>
      <c r="U114" s="159"/>
      <c r="V114" s="192"/>
      <c r="W114" s="193"/>
      <c r="X114" s="158"/>
      <c r="Y114" s="158"/>
      <c r="Z114" s="161"/>
      <c r="AA114" s="161"/>
      <c r="AB114" s="161"/>
      <c r="AC114" s="161"/>
      <c r="AD114" s="161"/>
      <c r="AE114" s="163"/>
      <c r="AF114" s="163"/>
      <c r="AG114" s="163"/>
      <c r="AH114" s="102"/>
      <c r="AI114" s="102"/>
      <c r="AJ114" s="102"/>
      <c r="AK114" s="102"/>
      <c r="AL114" s="102"/>
      <c r="AM114" s="70"/>
      <c r="AN114" s="70"/>
      <c r="AO114" s="70"/>
      <c r="AP114" s="70"/>
      <c r="AQ114" s="70"/>
      <c r="AR114" s="70"/>
      <c r="AS114" s="69">
        <f t="shared" si="39"/>
        <v>0</v>
      </c>
      <c r="AT114" s="69">
        <f t="shared" si="40"/>
        <v>0</v>
      </c>
      <c r="AU114" s="164"/>
      <c r="AV114" s="165"/>
      <c r="AW114" s="165"/>
      <c r="AX114" s="166"/>
      <c r="AY114" s="166"/>
      <c r="AZ114" s="166"/>
      <c r="BA114" s="166"/>
      <c r="BB114" s="137"/>
      <c r="BC114" s="137"/>
      <c r="BD114" s="167"/>
      <c r="BE114" s="167"/>
      <c r="BF114" s="167"/>
      <c r="BG114" s="168"/>
      <c r="BH114" s="168"/>
      <c r="BI114" s="78">
        <f t="shared" si="41"/>
        <v>0</v>
      </c>
      <c r="BJ114" s="79">
        <f t="shared" si="42"/>
        <v>0</v>
      </c>
      <c r="BK114" s="79"/>
      <c r="BL114" s="169">
        <v>5000000</v>
      </c>
      <c r="BM114" s="186" t="s">
        <v>72</v>
      </c>
      <c r="BN114" s="170" t="s">
        <v>222</v>
      </c>
    </row>
    <row r="115" spans="1:66" s="112" customFormat="1" ht="25.5">
      <c r="A115" s="84">
        <f>A113+1</f>
        <v>86</v>
      </c>
      <c r="B115" s="85" t="s">
        <v>469</v>
      </c>
      <c r="C115" s="86" t="s">
        <v>223</v>
      </c>
      <c r="D115" s="85" t="s">
        <v>64</v>
      </c>
      <c r="E115" s="87" t="s">
        <v>65</v>
      </c>
      <c r="F115" s="89"/>
      <c r="G115" s="89"/>
      <c r="H115" s="90">
        <v>43556</v>
      </c>
      <c r="I115" s="90">
        <v>43556</v>
      </c>
      <c r="J115" s="91">
        <v>2000000</v>
      </c>
      <c r="K115" s="92">
        <v>7.7499999999999999E-2</v>
      </c>
      <c r="L115" s="63">
        <v>7.4999999999999997E-2</v>
      </c>
      <c r="M115" s="93">
        <v>0.9</v>
      </c>
      <c r="N115" s="94">
        <v>8</v>
      </c>
      <c r="O115" s="94"/>
      <c r="P115" s="93">
        <v>12</v>
      </c>
      <c r="Q115" s="95">
        <f t="shared" ref="Q115:Q125" si="65">J115*K115*M115*N115/P115</f>
        <v>93000</v>
      </c>
      <c r="R115" s="94">
        <f t="shared" si="55"/>
        <v>1213312.131796638</v>
      </c>
      <c r="S115" s="95">
        <f t="shared" ref="S115:S125" si="66">R115*K115*M115*N115/P115</f>
        <v>56419.014128543669</v>
      </c>
      <c r="T115" s="95">
        <f t="shared" si="56"/>
        <v>36580.985871456331</v>
      </c>
      <c r="U115" s="96">
        <v>0.606656065898319</v>
      </c>
      <c r="V115" s="254">
        <v>2000000</v>
      </c>
      <c r="W115" s="122">
        <v>116250</v>
      </c>
      <c r="X115" s="95">
        <f t="shared" si="51"/>
        <v>-786687.86820336198</v>
      </c>
      <c r="Y115" s="95">
        <f t="shared" si="51"/>
        <v>-59830.985871456331</v>
      </c>
      <c r="Z115" s="98">
        <f t="shared" si="52"/>
        <v>-786687.86820336198</v>
      </c>
      <c r="AA115" s="98">
        <f t="shared" si="52"/>
        <v>-59830.985871456331</v>
      </c>
      <c r="AB115" s="98"/>
      <c r="AC115" s="98"/>
      <c r="AD115" s="98">
        <f t="shared" si="58"/>
        <v>-59830.985871456331</v>
      </c>
      <c r="AE115" s="100">
        <v>-1029350.2945626895</v>
      </c>
      <c r="AF115" s="100">
        <f t="shared" ref="AF115:AF125" si="67">AD115/K115/M115/9*P115</f>
        <v>-1143722.5495140993</v>
      </c>
      <c r="AG115" s="100"/>
      <c r="AH115" s="101"/>
      <c r="AI115" s="101"/>
      <c r="AJ115" s="101"/>
      <c r="AK115" s="101"/>
      <c r="AL115" s="101"/>
      <c r="AM115" s="104">
        <f t="shared" si="53"/>
        <v>-59830.985871456331</v>
      </c>
      <c r="AN115" s="104"/>
      <c r="AO115" s="104"/>
      <c r="AP115" s="104"/>
      <c r="AQ115" s="104">
        <f t="shared" si="50"/>
        <v>-59830.985871456331</v>
      </c>
      <c r="AR115" s="104"/>
      <c r="AS115" s="104">
        <f t="shared" si="39"/>
        <v>-59830.985871456331</v>
      </c>
      <c r="AT115" s="104">
        <f t="shared" si="40"/>
        <v>0</v>
      </c>
      <c r="AU115" s="105">
        <f t="shared" ref="AU115:AU125" si="68">AD115/K115/M115/8*P115</f>
        <v>-1286687.8682033618</v>
      </c>
      <c r="AV115" s="106"/>
      <c r="AW115" s="106"/>
      <c r="AX115" s="107"/>
      <c r="AY115" s="107"/>
      <c r="AZ115" s="107"/>
      <c r="BA115" s="107"/>
      <c r="BB115" s="108">
        <f t="shared" si="54"/>
        <v>-1286687.8682033618</v>
      </c>
      <c r="BC115" s="108">
        <f t="shared" ref="BC115:BC125" si="69">AM115/K115/M115/7*P115</f>
        <v>-1470500.4208038421</v>
      </c>
      <c r="BD115" s="109"/>
      <c r="BE115" s="109"/>
      <c r="BF115" s="109"/>
      <c r="BG115" s="110">
        <f t="shared" ref="BG115:BG125" si="70">AQ115/K115/M115/6*P115</f>
        <v>-1715583.824271149</v>
      </c>
      <c r="BH115" s="110"/>
      <c r="BI115" s="110"/>
      <c r="BJ115" s="123">
        <f t="shared" si="42"/>
        <v>-2659154.9276202815</v>
      </c>
      <c r="BK115" s="116"/>
      <c r="BL115" s="79"/>
      <c r="BM115" s="111"/>
    </row>
    <row r="116" spans="1:66" s="5" customFormat="1" ht="25.5">
      <c r="A116" s="126">
        <f t="shared" si="57"/>
        <v>87</v>
      </c>
      <c r="B116" s="127" t="s">
        <v>470</v>
      </c>
      <c r="C116" s="140" t="s">
        <v>224</v>
      </c>
      <c r="D116" s="127" t="s">
        <v>64</v>
      </c>
      <c r="E116" s="141" t="s">
        <v>98</v>
      </c>
      <c r="F116" s="127"/>
      <c r="G116" s="127"/>
      <c r="H116" s="129">
        <v>43525</v>
      </c>
      <c r="I116" s="60" t="s">
        <v>117</v>
      </c>
      <c r="J116" s="130">
        <v>10000000</v>
      </c>
      <c r="K116" s="142">
        <v>7.7499999999999999E-2</v>
      </c>
      <c r="L116" s="63">
        <v>7.4999999999999997E-2</v>
      </c>
      <c r="M116" s="133">
        <v>0.9</v>
      </c>
      <c r="N116" s="131">
        <v>9</v>
      </c>
      <c r="O116" s="131">
        <v>4</v>
      </c>
      <c r="P116" s="133">
        <v>12</v>
      </c>
      <c r="Q116" s="131">
        <f t="shared" si="65"/>
        <v>523125</v>
      </c>
      <c r="R116" s="131">
        <f t="shared" si="55"/>
        <v>6066560.6589831896</v>
      </c>
      <c r="S116" s="131">
        <f t="shared" si="66"/>
        <v>317356.95447305811</v>
      </c>
      <c r="T116" s="131">
        <f t="shared" si="56"/>
        <v>205768.04552694189</v>
      </c>
      <c r="U116" s="132">
        <v>0.606656065898319</v>
      </c>
      <c r="V116" s="131"/>
      <c r="W116" s="133"/>
      <c r="X116" s="131">
        <f t="shared" si="51"/>
        <v>6066560.6589831896</v>
      </c>
      <c r="Y116" s="131">
        <f t="shared" si="51"/>
        <v>317356.95447305811</v>
      </c>
      <c r="Z116" s="134">
        <f t="shared" si="52"/>
        <v>6066560.6589831896</v>
      </c>
      <c r="AA116" s="134">
        <f t="shared" si="52"/>
        <v>317356.95447305811</v>
      </c>
      <c r="AB116" s="134"/>
      <c r="AC116" s="134"/>
      <c r="AD116" s="134">
        <f t="shared" si="58"/>
        <v>317356.95447305811</v>
      </c>
      <c r="AE116" s="135">
        <v>5459904.5930848699</v>
      </c>
      <c r="AF116" s="135">
        <f t="shared" si="67"/>
        <v>6066560.6589831896</v>
      </c>
      <c r="AG116" s="135"/>
      <c r="AH116" s="70"/>
      <c r="AI116" s="70"/>
      <c r="AJ116" s="70"/>
      <c r="AK116" s="70"/>
      <c r="AL116" s="71"/>
      <c r="AM116" s="69">
        <f t="shared" si="53"/>
        <v>317356.95447305811</v>
      </c>
      <c r="AN116" s="69"/>
      <c r="AO116" s="69"/>
      <c r="AP116" s="69"/>
      <c r="AQ116" s="69">
        <f t="shared" si="50"/>
        <v>317356.95447305811</v>
      </c>
      <c r="AR116" s="69"/>
      <c r="AS116" s="69">
        <f t="shared" si="39"/>
        <v>317356.95447305811</v>
      </c>
      <c r="AT116" s="69">
        <f t="shared" si="40"/>
        <v>225000</v>
      </c>
      <c r="AU116" s="136">
        <f t="shared" si="68"/>
        <v>6824880.7413560878</v>
      </c>
      <c r="AV116" s="136"/>
      <c r="AW116" s="136"/>
      <c r="AX116" s="74"/>
      <c r="AY116" s="74"/>
      <c r="AZ116" s="74"/>
      <c r="BA116" s="75"/>
      <c r="BB116" s="76">
        <f t="shared" si="54"/>
        <v>6824880.7413560878</v>
      </c>
      <c r="BC116" s="76">
        <f t="shared" si="69"/>
        <v>7799863.7044069581</v>
      </c>
      <c r="BD116" s="138"/>
      <c r="BE116" s="138"/>
      <c r="BF116" s="138"/>
      <c r="BG116" s="78">
        <f t="shared" si="70"/>
        <v>9099840.9884747844</v>
      </c>
      <c r="BH116" s="78"/>
      <c r="BI116" s="78">
        <f t="shared" si="41"/>
        <v>92356.954473058111</v>
      </c>
      <c r="BJ116" s="79">
        <f t="shared" si="42"/>
        <v>14104753.532135919</v>
      </c>
      <c r="BK116" s="79">
        <v>10000000</v>
      </c>
      <c r="BL116" s="79"/>
      <c r="BM116" s="147" t="s">
        <v>225</v>
      </c>
      <c r="BN116" s="81" t="s">
        <v>64</v>
      </c>
    </row>
    <row r="117" spans="1:66" s="112" customFormat="1" ht="25.5">
      <c r="A117" s="84">
        <f t="shared" si="57"/>
        <v>88</v>
      </c>
      <c r="B117" s="85" t="s">
        <v>226</v>
      </c>
      <c r="C117" s="86" t="s">
        <v>227</v>
      </c>
      <c r="D117" s="85" t="s">
        <v>64</v>
      </c>
      <c r="E117" s="87" t="s">
        <v>65</v>
      </c>
      <c r="F117" s="89"/>
      <c r="G117" s="89"/>
      <c r="H117" s="90">
        <v>43525</v>
      </c>
      <c r="I117" s="90">
        <v>43525</v>
      </c>
      <c r="J117" s="91">
        <v>4000000</v>
      </c>
      <c r="K117" s="92">
        <v>7.7499999999999999E-2</v>
      </c>
      <c r="L117" s="63">
        <v>7.4999999999999997E-2</v>
      </c>
      <c r="M117" s="93">
        <v>0.9</v>
      </c>
      <c r="N117" s="94">
        <v>9</v>
      </c>
      <c r="O117" s="94"/>
      <c r="P117" s="93">
        <v>12</v>
      </c>
      <c r="Q117" s="95">
        <f t="shared" si="65"/>
        <v>209250</v>
      </c>
      <c r="R117" s="94">
        <f t="shared" si="55"/>
        <v>2426624.263593276</v>
      </c>
      <c r="S117" s="95">
        <f t="shared" si="66"/>
        <v>126942.78178922326</v>
      </c>
      <c r="T117" s="95">
        <f t="shared" si="56"/>
        <v>82307.218210776744</v>
      </c>
      <c r="U117" s="96">
        <v>0.606656065898319</v>
      </c>
      <c r="V117" s="94"/>
      <c r="W117" s="97"/>
      <c r="X117" s="95">
        <f t="shared" si="51"/>
        <v>2426624.263593276</v>
      </c>
      <c r="Y117" s="95">
        <f t="shared" si="51"/>
        <v>126942.78178922326</v>
      </c>
      <c r="Z117" s="98">
        <f t="shared" si="52"/>
        <v>2426624.263593276</v>
      </c>
      <c r="AA117" s="98">
        <f t="shared" si="52"/>
        <v>126942.78178922326</v>
      </c>
      <c r="AB117" s="98">
        <v>126886.88</v>
      </c>
      <c r="AC117" s="98"/>
      <c r="AD117" s="98">
        <f t="shared" si="58"/>
        <v>55.901789223251399</v>
      </c>
      <c r="AE117" s="100">
        <v>961.83723394852132</v>
      </c>
      <c r="AF117" s="100">
        <f t="shared" si="67"/>
        <v>1068.6124582700388</v>
      </c>
      <c r="AG117" s="100"/>
      <c r="AH117" s="101"/>
      <c r="AI117" s="101"/>
      <c r="AJ117" s="101"/>
      <c r="AK117" s="101"/>
      <c r="AL117" s="101"/>
      <c r="AM117" s="104">
        <f t="shared" si="53"/>
        <v>55.901789223251399</v>
      </c>
      <c r="AN117" s="104"/>
      <c r="AO117" s="104"/>
      <c r="AP117" s="104"/>
      <c r="AQ117" s="104">
        <f t="shared" si="50"/>
        <v>55.901789223251399</v>
      </c>
      <c r="AR117" s="104"/>
      <c r="AS117" s="104">
        <f t="shared" si="39"/>
        <v>55.901789223251399</v>
      </c>
      <c r="AT117" s="104">
        <f t="shared" si="40"/>
        <v>0</v>
      </c>
      <c r="AU117" s="181">
        <f t="shared" si="68"/>
        <v>1202.1890155537935</v>
      </c>
      <c r="AV117" s="106"/>
      <c r="AW117" s="106"/>
      <c r="AX117" s="107"/>
      <c r="AY117" s="107"/>
      <c r="AZ117" s="107"/>
      <c r="BA117" s="107"/>
      <c r="BB117" s="108">
        <f t="shared" si="54"/>
        <v>1202.1890155537935</v>
      </c>
      <c r="BC117" s="108">
        <f t="shared" si="69"/>
        <v>1373.9303034900499</v>
      </c>
      <c r="BD117" s="109"/>
      <c r="BE117" s="109"/>
      <c r="BF117" s="109"/>
      <c r="BG117" s="110">
        <f t="shared" si="70"/>
        <v>1602.9186874050583</v>
      </c>
      <c r="BH117" s="110"/>
      <c r="BI117" s="110">
        <f t="shared" si="41"/>
        <v>55.901789223251399</v>
      </c>
      <c r="BJ117" s="116">
        <f t="shared" si="42"/>
        <v>2484.5239654778402</v>
      </c>
      <c r="BK117" s="116"/>
      <c r="BL117" s="79"/>
      <c r="BM117" s="111"/>
    </row>
    <row r="118" spans="1:66" s="299" customFormat="1">
      <c r="A118" s="218">
        <f t="shared" si="57"/>
        <v>89</v>
      </c>
      <c r="B118" s="219" t="s">
        <v>228</v>
      </c>
      <c r="C118" s="220" t="s">
        <v>229</v>
      </c>
      <c r="D118" s="219" t="s">
        <v>111</v>
      </c>
      <c r="E118" s="219" t="s">
        <v>65</v>
      </c>
      <c r="F118" s="219"/>
      <c r="G118" s="219"/>
      <c r="H118" s="221">
        <v>43497</v>
      </c>
      <c r="I118" s="221">
        <v>43497</v>
      </c>
      <c r="J118" s="222">
        <v>1000000</v>
      </c>
      <c r="K118" s="223">
        <v>7.7499999999999999E-2</v>
      </c>
      <c r="L118" s="63">
        <v>7.4999999999999997E-2</v>
      </c>
      <c r="M118" s="224">
        <v>0.9</v>
      </c>
      <c r="N118" s="225">
        <v>10</v>
      </c>
      <c r="O118" s="225"/>
      <c r="P118" s="224">
        <v>12</v>
      </c>
      <c r="Q118" s="225">
        <f t="shared" si="65"/>
        <v>58125</v>
      </c>
      <c r="R118" s="225">
        <f t="shared" si="55"/>
        <v>606656.06589831901</v>
      </c>
      <c r="S118" s="225">
        <f t="shared" si="66"/>
        <v>35261.883830339793</v>
      </c>
      <c r="T118" s="225">
        <f t="shared" si="56"/>
        <v>22863.116169660207</v>
      </c>
      <c r="U118" s="226">
        <v>0.606656065898319</v>
      </c>
      <c r="V118" s="225"/>
      <c r="W118" s="224"/>
      <c r="X118" s="225">
        <f t="shared" si="51"/>
        <v>606656.06589831901</v>
      </c>
      <c r="Y118" s="225">
        <f t="shared" si="51"/>
        <v>35261.883830339793</v>
      </c>
      <c r="Z118" s="227">
        <f t="shared" si="52"/>
        <v>606656.06589831901</v>
      </c>
      <c r="AA118" s="227">
        <f t="shared" si="52"/>
        <v>35261.883830339793</v>
      </c>
      <c r="AB118" s="227"/>
      <c r="AC118" s="227"/>
      <c r="AD118" s="227">
        <f t="shared" si="58"/>
        <v>35261.883830339793</v>
      </c>
      <c r="AE118" s="229">
        <v>606656.06589831901</v>
      </c>
      <c r="AF118" s="229">
        <f t="shared" si="67"/>
        <v>674062.29544257664</v>
      </c>
      <c r="AG118" s="229"/>
      <c r="AH118" s="230">
        <v>-35261.879999999997</v>
      </c>
      <c r="AI118" s="230"/>
      <c r="AJ118" s="230"/>
      <c r="AK118" s="230"/>
      <c r="AL118" s="230"/>
      <c r="AM118" s="230">
        <f t="shared" si="53"/>
        <v>3.8303397959680296E-3</v>
      </c>
      <c r="AN118" s="230"/>
      <c r="AO118" s="230"/>
      <c r="AP118" s="230"/>
      <c r="AQ118" s="230">
        <f t="shared" si="50"/>
        <v>3.8303397959680296E-3</v>
      </c>
      <c r="AR118" s="230"/>
      <c r="AS118" s="104">
        <f t="shared" si="39"/>
        <v>3.8303397959680296E-3</v>
      </c>
      <c r="AT118" s="104">
        <f t="shared" si="40"/>
        <v>0</v>
      </c>
      <c r="AU118" s="232">
        <f t="shared" si="68"/>
        <v>758320.0823728987</v>
      </c>
      <c r="AV118" s="232"/>
      <c r="AW118" s="232">
        <v>-758320.08</v>
      </c>
      <c r="AX118" s="233"/>
      <c r="AY118" s="233"/>
      <c r="AZ118" s="233"/>
      <c r="BA118" s="233"/>
      <c r="BB118" s="234">
        <f t="shared" si="54"/>
        <v>2.3728987434878945E-3</v>
      </c>
      <c r="BC118" s="108">
        <f t="shared" si="69"/>
        <v>9.4140455814882451E-2</v>
      </c>
      <c r="BD118" s="297"/>
      <c r="BE118" s="297"/>
      <c r="BF118" s="297"/>
      <c r="BG118" s="110">
        <f t="shared" si="70"/>
        <v>0.10983053178402953</v>
      </c>
      <c r="BH118" s="110"/>
      <c r="BI118" s="110">
        <f t="shared" si="41"/>
        <v>3.8303397959680296E-3</v>
      </c>
      <c r="BJ118" s="116">
        <f t="shared" si="42"/>
        <v>0.17023732426524577</v>
      </c>
      <c r="BK118" s="116"/>
      <c r="BL118" s="79"/>
      <c r="BM118" s="298"/>
    </row>
    <row r="119" spans="1:66" s="112" customFormat="1" ht="25.5">
      <c r="A119" s="84">
        <f t="shared" si="57"/>
        <v>90</v>
      </c>
      <c r="B119" s="85" t="s">
        <v>230</v>
      </c>
      <c r="C119" s="86" t="s">
        <v>231</v>
      </c>
      <c r="D119" s="85" t="s">
        <v>64</v>
      </c>
      <c r="E119" s="87" t="s">
        <v>65</v>
      </c>
      <c r="F119" s="89"/>
      <c r="G119" s="89"/>
      <c r="H119" s="90">
        <v>43525</v>
      </c>
      <c r="I119" s="90">
        <v>43525</v>
      </c>
      <c r="J119" s="91">
        <v>20000000</v>
      </c>
      <c r="K119" s="92">
        <v>7.7499999999999999E-2</v>
      </c>
      <c r="L119" s="63">
        <v>7.4999999999999997E-2</v>
      </c>
      <c r="M119" s="93">
        <v>0.9</v>
      </c>
      <c r="N119" s="94">
        <v>9</v>
      </c>
      <c r="O119" s="94"/>
      <c r="P119" s="93">
        <v>12</v>
      </c>
      <c r="Q119" s="95">
        <f t="shared" si="65"/>
        <v>1046250</v>
      </c>
      <c r="R119" s="94">
        <f t="shared" si="55"/>
        <v>12133121.317966379</v>
      </c>
      <c r="S119" s="95">
        <f t="shared" si="66"/>
        <v>634713.90894611622</v>
      </c>
      <c r="T119" s="95">
        <f t="shared" si="56"/>
        <v>411536.09105388378</v>
      </c>
      <c r="U119" s="96">
        <v>0.606656065898319</v>
      </c>
      <c r="V119" s="94"/>
      <c r="W119" s="97"/>
      <c r="X119" s="95">
        <f t="shared" si="51"/>
        <v>12133121.317966379</v>
      </c>
      <c r="Y119" s="95">
        <f t="shared" si="51"/>
        <v>634713.90894611622</v>
      </c>
      <c r="Z119" s="98">
        <f t="shared" si="52"/>
        <v>12133121.317966379</v>
      </c>
      <c r="AA119" s="98">
        <f t="shared" si="52"/>
        <v>634713.90894611622</v>
      </c>
      <c r="AB119" s="98"/>
      <c r="AC119" s="98">
        <f>706218.75-AC120</f>
        <v>634713.91</v>
      </c>
      <c r="AD119" s="98">
        <f t="shared" si="58"/>
        <v>-1.0538838105276227E-3</v>
      </c>
      <c r="AE119" s="100">
        <v>-1063550.6490844637</v>
      </c>
      <c r="AF119" s="100">
        <f t="shared" si="67"/>
        <v>-2.0145927082965309E-2</v>
      </c>
      <c r="AG119" s="100"/>
      <c r="AH119" s="101"/>
      <c r="AI119" s="101"/>
      <c r="AJ119" s="101"/>
      <c r="AK119" s="101"/>
      <c r="AL119" s="101"/>
      <c r="AM119" s="104">
        <f t="shared" si="53"/>
        <v>-1.0538838105276227E-3</v>
      </c>
      <c r="AN119" s="104"/>
      <c r="AO119" s="104"/>
      <c r="AP119" s="104"/>
      <c r="AQ119" s="104">
        <f t="shared" si="50"/>
        <v>-1.0538838105276227E-3</v>
      </c>
      <c r="AR119" s="104"/>
      <c r="AS119" s="104">
        <f t="shared" si="39"/>
        <v>-1.0538838105276227E-3</v>
      </c>
      <c r="AT119" s="104">
        <f t="shared" si="40"/>
        <v>0</v>
      </c>
      <c r="AU119" s="105">
        <f t="shared" si="68"/>
        <v>-2.2664167968335973E-2</v>
      </c>
      <c r="AV119" s="106"/>
      <c r="AW119" s="106"/>
      <c r="AX119" s="107"/>
      <c r="AY119" s="107"/>
      <c r="AZ119" s="107"/>
      <c r="BA119" s="107"/>
      <c r="BB119" s="108">
        <f t="shared" si="54"/>
        <v>-2.2664167968335973E-2</v>
      </c>
      <c r="BC119" s="108">
        <f t="shared" si="69"/>
        <v>-2.5901906249526825E-2</v>
      </c>
      <c r="BD119" s="109"/>
      <c r="BE119" s="109"/>
      <c r="BF119" s="109"/>
      <c r="BG119" s="110">
        <f t="shared" si="70"/>
        <v>-3.0218890624447964E-2</v>
      </c>
      <c r="BH119" s="110"/>
      <c r="BI119" s="110">
        <f t="shared" si="41"/>
        <v>-1.0538838105276227E-3</v>
      </c>
      <c r="BJ119" s="116">
        <f t="shared" si="42"/>
        <v>-4.6839280467894345E-2</v>
      </c>
      <c r="BK119" s="116"/>
      <c r="BL119" s="79"/>
      <c r="BM119" s="111"/>
    </row>
    <row r="120" spans="1:66" s="81" customFormat="1" ht="25.5">
      <c r="A120" s="56">
        <f t="shared" si="57"/>
        <v>91</v>
      </c>
      <c r="B120" s="57" t="s">
        <v>230</v>
      </c>
      <c r="C120" s="58" t="s">
        <v>231</v>
      </c>
      <c r="D120" s="57" t="s">
        <v>64</v>
      </c>
      <c r="E120" s="57" t="s">
        <v>65</v>
      </c>
      <c r="F120" s="57"/>
      <c r="G120" s="57"/>
      <c r="H120" s="60">
        <v>43647</v>
      </c>
      <c r="I120" s="60">
        <v>43647</v>
      </c>
      <c r="J120" s="62">
        <v>5000000</v>
      </c>
      <c r="K120" s="63">
        <v>7.7499999999999999E-2</v>
      </c>
      <c r="L120" s="63">
        <v>7.4999999999999997E-2</v>
      </c>
      <c r="M120" s="64">
        <v>0.9</v>
      </c>
      <c r="N120" s="65">
        <v>5</v>
      </c>
      <c r="O120" s="65">
        <v>4</v>
      </c>
      <c r="P120" s="64">
        <v>12</v>
      </c>
      <c r="Q120" s="65">
        <f t="shared" si="65"/>
        <v>145312.5</v>
      </c>
      <c r="R120" s="65">
        <f t="shared" si="55"/>
        <v>3033280.3294915948</v>
      </c>
      <c r="S120" s="65">
        <f t="shared" si="66"/>
        <v>88154.709575849469</v>
      </c>
      <c r="T120" s="65">
        <f t="shared" si="56"/>
        <v>57157.790424150531</v>
      </c>
      <c r="U120" s="66">
        <v>0.606656065898319</v>
      </c>
      <c r="V120" s="65"/>
      <c r="W120" s="64"/>
      <c r="X120" s="65">
        <f t="shared" si="51"/>
        <v>3033280.3294915948</v>
      </c>
      <c r="Y120" s="65">
        <f t="shared" si="51"/>
        <v>88154.709575849469</v>
      </c>
      <c r="Z120" s="67">
        <f t="shared" si="52"/>
        <v>3033280.3294915948</v>
      </c>
      <c r="AA120" s="67">
        <f t="shared" si="52"/>
        <v>88154.709575849469</v>
      </c>
      <c r="AB120" s="114"/>
      <c r="AC120" s="300">
        <v>71504.84</v>
      </c>
      <c r="AD120" s="67">
        <f t="shared" si="58"/>
        <v>16649.869575849472</v>
      </c>
      <c r="AE120" s="68">
        <v>0</v>
      </c>
      <c r="AF120" s="68">
        <f t="shared" si="67"/>
        <v>318277.07671874738</v>
      </c>
      <c r="AG120" s="68"/>
      <c r="AH120" s="69"/>
      <c r="AI120" s="69"/>
      <c r="AJ120" s="70"/>
      <c r="AK120" s="70"/>
      <c r="AL120" s="71"/>
      <c r="AM120" s="69">
        <f t="shared" si="53"/>
        <v>16649.869575849472</v>
      </c>
      <c r="AN120" s="69"/>
      <c r="AO120" s="69"/>
      <c r="AP120" s="69"/>
      <c r="AQ120" s="69">
        <f t="shared" si="50"/>
        <v>16649.869575849472</v>
      </c>
      <c r="AR120" s="69"/>
      <c r="AS120" s="69">
        <f t="shared" si="39"/>
        <v>16649.869575849472</v>
      </c>
      <c r="AT120" s="69">
        <f t="shared" si="40"/>
        <v>16649.869499999997</v>
      </c>
      <c r="AU120" s="72">
        <f t="shared" si="68"/>
        <v>358061.71130859083</v>
      </c>
      <c r="AV120" s="72"/>
      <c r="AW120" s="72"/>
      <c r="AX120" s="73"/>
      <c r="AY120" s="74"/>
      <c r="AZ120" s="74"/>
      <c r="BA120" s="75"/>
      <c r="BB120" s="76">
        <f t="shared" si="54"/>
        <v>358061.71130859083</v>
      </c>
      <c r="BC120" s="76">
        <f t="shared" si="69"/>
        <v>409213.38435267523</v>
      </c>
      <c r="BD120" s="77"/>
      <c r="BE120" s="77"/>
      <c r="BF120" s="77"/>
      <c r="BG120" s="78">
        <f t="shared" si="70"/>
        <v>477415.61507812107</v>
      </c>
      <c r="BH120" s="78"/>
      <c r="BI120" s="78">
        <f t="shared" si="41"/>
        <v>7.584947525174357E-5</v>
      </c>
      <c r="BJ120" s="79">
        <f t="shared" si="42"/>
        <v>739994.20337108767</v>
      </c>
      <c r="BK120" s="79">
        <v>739994.2</v>
      </c>
      <c r="BL120" s="79">
        <v>10000000</v>
      </c>
      <c r="BM120" s="144" t="s">
        <v>99</v>
      </c>
      <c r="BN120" s="145" t="s">
        <v>64</v>
      </c>
    </row>
    <row r="121" spans="1:66" s="112" customFormat="1" ht="25.5">
      <c r="A121" s="84">
        <f t="shared" si="57"/>
        <v>92</v>
      </c>
      <c r="B121" s="85" t="s">
        <v>232</v>
      </c>
      <c r="C121" s="86" t="s">
        <v>233</v>
      </c>
      <c r="D121" s="85" t="s">
        <v>64</v>
      </c>
      <c r="E121" s="87" t="s">
        <v>98</v>
      </c>
      <c r="F121" s="89"/>
      <c r="G121" s="89"/>
      <c r="H121" s="90">
        <v>43497</v>
      </c>
      <c r="I121" s="90">
        <v>43497</v>
      </c>
      <c r="J121" s="91">
        <v>20000000</v>
      </c>
      <c r="K121" s="92">
        <v>7.7499999999999999E-2</v>
      </c>
      <c r="L121" s="63">
        <v>7.4999999999999997E-2</v>
      </c>
      <c r="M121" s="93">
        <v>0.9</v>
      </c>
      <c r="N121" s="94">
        <v>10</v>
      </c>
      <c r="O121" s="94"/>
      <c r="P121" s="93">
        <v>12</v>
      </c>
      <c r="Q121" s="95">
        <f t="shared" si="65"/>
        <v>1162500</v>
      </c>
      <c r="R121" s="94">
        <f t="shared" si="55"/>
        <v>12133121.317966379</v>
      </c>
      <c r="S121" s="95">
        <f t="shared" si="66"/>
        <v>705237.67660679575</v>
      </c>
      <c r="T121" s="95">
        <f t="shared" si="56"/>
        <v>457262.32339320425</v>
      </c>
      <c r="U121" s="96">
        <v>0.606656065898319</v>
      </c>
      <c r="V121" s="94">
        <v>60000000</v>
      </c>
      <c r="W121" s="122">
        <f>3487500-W122-W123-W124</f>
        <v>2253334.0699999998</v>
      </c>
      <c r="X121" s="95">
        <f t="shared" si="51"/>
        <v>-47866878.682033621</v>
      </c>
      <c r="Y121" s="95">
        <f t="shared" si="51"/>
        <v>-1548096.3933932041</v>
      </c>
      <c r="Z121" s="98">
        <f t="shared" si="52"/>
        <v>-47866878.682033621</v>
      </c>
      <c r="AA121" s="98">
        <f t="shared" si="52"/>
        <v>-1548096.3933932041</v>
      </c>
      <c r="AB121" s="98"/>
      <c r="AC121" s="98"/>
      <c r="AD121" s="98">
        <f t="shared" si="58"/>
        <v>-1548096.3933932041</v>
      </c>
      <c r="AE121" s="100">
        <v>-26633916.375592455</v>
      </c>
      <c r="AF121" s="100">
        <f t="shared" si="67"/>
        <v>-29593240.49497164</v>
      </c>
      <c r="AG121" s="100"/>
      <c r="AH121" s="101"/>
      <c r="AI121" s="101"/>
      <c r="AJ121" s="101"/>
      <c r="AK121" s="101"/>
      <c r="AL121" s="101"/>
      <c r="AM121" s="104">
        <f t="shared" si="53"/>
        <v>-1548096.3933932041</v>
      </c>
      <c r="AN121" s="104"/>
      <c r="AO121" s="104"/>
      <c r="AP121" s="104"/>
      <c r="AQ121" s="104">
        <f t="shared" si="50"/>
        <v>-1548096.3933932041</v>
      </c>
      <c r="AR121" s="104"/>
      <c r="AS121" s="104">
        <f t="shared" si="39"/>
        <v>-1548096.3933932041</v>
      </c>
      <c r="AT121" s="104">
        <f t="shared" si="40"/>
        <v>0</v>
      </c>
      <c r="AU121" s="105">
        <f t="shared" si="68"/>
        <v>-33292395.556843098</v>
      </c>
      <c r="AV121" s="106"/>
      <c r="AW121" s="106"/>
      <c r="AX121" s="107"/>
      <c r="AY121" s="107"/>
      <c r="AZ121" s="107"/>
      <c r="BA121" s="107"/>
      <c r="BB121" s="108">
        <f t="shared" si="54"/>
        <v>-33292395.556843098</v>
      </c>
      <c r="BC121" s="108">
        <f t="shared" si="69"/>
        <v>-38048452.064963542</v>
      </c>
      <c r="BD121" s="109"/>
      <c r="BE121" s="109"/>
      <c r="BF121" s="109"/>
      <c r="BG121" s="110">
        <f t="shared" si="70"/>
        <v>-44389860.742457464</v>
      </c>
      <c r="BH121" s="110"/>
      <c r="BI121" s="110"/>
      <c r="BJ121" s="123">
        <f t="shared" si="42"/>
        <v>-68804284.150809079</v>
      </c>
      <c r="BK121" s="116"/>
      <c r="BL121" s="79"/>
      <c r="BM121" s="111"/>
    </row>
    <row r="122" spans="1:66" s="112" customFormat="1" ht="25.5">
      <c r="A122" s="84">
        <f t="shared" si="57"/>
        <v>93</v>
      </c>
      <c r="B122" s="85" t="s">
        <v>232</v>
      </c>
      <c r="C122" s="86" t="s">
        <v>233</v>
      </c>
      <c r="D122" s="85" t="s">
        <v>64</v>
      </c>
      <c r="E122" s="87" t="s">
        <v>98</v>
      </c>
      <c r="F122" s="89"/>
      <c r="G122" s="89"/>
      <c r="H122" s="90">
        <v>43525</v>
      </c>
      <c r="I122" s="90">
        <v>43525</v>
      </c>
      <c r="J122" s="91">
        <v>20000000</v>
      </c>
      <c r="K122" s="92">
        <v>7.7499999999999999E-2</v>
      </c>
      <c r="L122" s="63">
        <v>7.4999999999999997E-2</v>
      </c>
      <c r="M122" s="93">
        <v>0.9</v>
      </c>
      <c r="N122" s="94">
        <v>9</v>
      </c>
      <c r="O122" s="94"/>
      <c r="P122" s="93">
        <v>12</v>
      </c>
      <c r="Q122" s="95">
        <f t="shared" si="65"/>
        <v>1046250</v>
      </c>
      <c r="R122" s="94">
        <f t="shared" si="55"/>
        <v>12133121.317966379</v>
      </c>
      <c r="S122" s="95">
        <f t="shared" si="66"/>
        <v>634713.90894611622</v>
      </c>
      <c r="T122" s="95">
        <f t="shared" si="56"/>
        <v>411536.09105388378</v>
      </c>
      <c r="U122" s="96">
        <v>0.606656065898319</v>
      </c>
      <c r="V122" s="94"/>
      <c r="W122" s="97">
        <v>634713.91</v>
      </c>
      <c r="X122" s="95">
        <f t="shared" si="51"/>
        <v>12133121.317966379</v>
      </c>
      <c r="Y122" s="95">
        <f t="shared" si="51"/>
        <v>-1.0538838105276227E-3</v>
      </c>
      <c r="Z122" s="98">
        <f t="shared" si="52"/>
        <v>12133121.317966379</v>
      </c>
      <c r="AA122" s="98">
        <f t="shared" si="52"/>
        <v>-1.0538838105276227E-3</v>
      </c>
      <c r="AB122" s="115"/>
      <c r="AC122" s="115"/>
      <c r="AD122" s="98">
        <f t="shared" si="58"/>
        <v>-1.0538838105276227E-3</v>
      </c>
      <c r="AE122" s="100">
        <v>0</v>
      </c>
      <c r="AF122" s="100">
        <f t="shared" si="67"/>
        <v>-2.0145927082965309E-2</v>
      </c>
      <c r="AG122" s="100"/>
      <c r="AH122" s="101"/>
      <c r="AI122" s="101"/>
      <c r="AJ122" s="101"/>
      <c r="AK122" s="101"/>
      <c r="AL122" s="101"/>
      <c r="AM122" s="104">
        <f t="shared" si="53"/>
        <v>-1.0538838105276227E-3</v>
      </c>
      <c r="AN122" s="104"/>
      <c r="AO122" s="104"/>
      <c r="AP122" s="104"/>
      <c r="AQ122" s="104">
        <f t="shared" si="50"/>
        <v>-1.0538838105276227E-3</v>
      </c>
      <c r="AR122" s="104"/>
      <c r="AS122" s="104">
        <f t="shared" si="39"/>
        <v>-1.0538838105276227E-3</v>
      </c>
      <c r="AT122" s="104">
        <f t="shared" si="40"/>
        <v>0</v>
      </c>
      <c r="AU122" s="105">
        <f t="shared" si="68"/>
        <v>-2.2664167968335973E-2</v>
      </c>
      <c r="AV122" s="106"/>
      <c r="AW122" s="106"/>
      <c r="AX122" s="107"/>
      <c r="AY122" s="107"/>
      <c r="AZ122" s="107"/>
      <c r="BA122" s="107"/>
      <c r="BB122" s="108">
        <f t="shared" si="54"/>
        <v>-2.2664167968335973E-2</v>
      </c>
      <c r="BC122" s="108">
        <f t="shared" si="69"/>
        <v>-2.5901906249526825E-2</v>
      </c>
      <c r="BD122" s="109"/>
      <c r="BE122" s="109"/>
      <c r="BF122" s="109"/>
      <c r="BG122" s="110">
        <f t="shared" si="70"/>
        <v>-3.0218890624447964E-2</v>
      </c>
      <c r="BH122" s="110"/>
      <c r="BI122" s="110">
        <f t="shared" si="41"/>
        <v>-1.0538838105276227E-3</v>
      </c>
      <c r="BJ122" s="116">
        <f t="shared" si="42"/>
        <v>-4.6839280467894345E-2</v>
      </c>
      <c r="BK122" s="116"/>
      <c r="BL122" s="79"/>
      <c r="BM122" s="111"/>
    </row>
    <row r="123" spans="1:66" s="112" customFormat="1" ht="25.5">
      <c r="A123" s="84">
        <f t="shared" si="57"/>
        <v>94</v>
      </c>
      <c r="B123" s="85" t="s">
        <v>232</v>
      </c>
      <c r="C123" s="86" t="s">
        <v>233</v>
      </c>
      <c r="D123" s="85" t="s">
        <v>64</v>
      </c>
      <c r="E123" s="87" t="s">
        <v>98</v>
      </c>
      <c r="F123" s="89"/>
      <c r="G123" s="89"/>
      <c r="H123" s="90">
        <v>43586</v>
      </c>
      <c r="I123" s="90">
        <v>43586</v>
      </c>
      <c r="J123" s="91">
        <v>20000000</v>
      </c>
      <c r="K123" s="92">
        <v>7.7499999999999999E-2</v>
      </c>
      <c r="L123" s="63">
        <v>7.4999999999999997E-2</v>
      </c>
      <c r="M123" s="93">
        <v>0.9</v>
      </c>
      <c r="N123" s="94">
        <v>7</v>
      </c>
      <c r="O123" s="94"/>
      <c r="P123" s="93">
        <v>12</v>
      </c>
      <c r="Q123" s="95">
        <f t="shared" si="65"/>
        <v>813750</v>
      </c>
      <c r="R123" s="94">
        <f t="shared" si="55"/>
        <v>12133121.317966379</v>
      </c>
      <c r="S123" s="95">
        <f t="shared" si="66"/>
        <v>493666.37362475699</v>
      </c>
      <c r="T123" s="95">
        <f t="shared" si="56"/>
        <v>320083.62637524301</v>
      </c>
      <c r="U123" s="96">
        <v>0.606656065898319</v>
      </c>
      <c r="V123" s="94"/>
      <c r="W123" s="97">
        <v>493666.37</v>
      </c>
      <c r="X123" s="95">
        <f t="shared" si="51"/>
        <v>12133121.317966379</v>
      </c>
      <c r="Y123" s="95">
        <f t="shared" si="51"/>
        <v>3.6247569951228797E-3</v>
      </c>
      <c r="Z123" s="98">
        <f t="shared" si="52"/>
        <v>12133121.317966379</v>
      </c>
      <c r="AA123" s="98">
        <f t="shared" si="52"/>
        <v>3.6247569951228797E-3</v>
      </c>
      <c r="AB123" s="115"/>
      <c r="AC123" s="115"/>
      <c r="AD123" s="98">
        <f t="shared" si="58"/>
        <v>3.6247569951228797E-3</v>
      </c>
      <c r="AE123" s="100">
        <v>0</v>
      </c>
      <c r="AF123" s="100">
        <f t="shared" si="67"/>
        <v>6.9290456298645262E-2</v>
      </c>
      <c r="AG123" s="100"/>
      <c r="AH123" s="101"/>
      <c r="AI123" s="101"/>
      <c r="AJ123" s="101"/>
      <c r="AK123" s="101"/>
      <c r="AL123" s="101"/>
      <c r="AM123" s="104">
        <f t="shared" si="53"/>
        <v>3.6247569951228797E-3</v>
      </c>
      <c r="AN123" s="104"/>
      <c r="AO123" s="104"/>
      <c r="AP123" s="104"/>
      <c r="AQ123" s="104">
        <f t="shared" si="50"/>
        <v>3.6247569951228797E-3</v>
      </c>
      <c r="AR123" s="104"/>
      <c r="AS123" s="104">
        <f t="shared" si="39"/>
        <v>3.6247569951228797E-3</v>
      </c>
      <c r="AT123" s="104">
        <f t="shared" si="40"/>
        <v>0</v>
      </c>
      <c r="AU123" s="181">
        <f t="shared" si="68"/>
        <v>7.7951763335975921E-2</v>
      </c>
      <c r="AV123" s="106"/>
      <c r="AW123" s="106"/>
      <c r="AX123" s="107"/>
      <c r="AY123" s="107"/>
      <c r="AZ123" s="107"/>
      <c r="BA123" s="107"/>
      <c r="BB123" s="108">
        <f t="shared" si="54"/>
        <v>7.7951763335975921E-2</v>
      </c>
      <c r="BC123" s="108">
        <f t="shared" si="69"/>
        <v>8.9087729526829612E-2</v>
      </c>
      <c r="BD123" s="109"/>
      <c r="BE123" s="109"/>
      <c r="BF123" s="109"/>
      <c r="BG123" s="110">
        <f t="shared" si="70"/>
        <v>0.10393568444796789</v>
      </c>
      <c r="BH123" s="110"/>
      <c r="BI123" s="110">
        <f t="shared" si="41"/>
        <v>3.6247569951228797E-3</v>
      </c>
      <c r="BJ123" s="116">
        <f t="shared" si="42"/>
        <v>0.16110031089435023</v>
      </c>
      <c r="BK123" s="116"/>
      <c r="BL123" s="79"/>
      <c r="BM123" s="111"/>
    </row>
    <row r="124" spans="1:66" s="112" customFormat="1" ht="25.5">
      <c r="A124" s="84">
        <f t="shared" si="57"/>
        <v>95</v>
      </c>
      <c r="B124" s="85" t="s">
        <v>232</v>
      </c>
      <c r="C124" s="86" t="s">
        <v>233</v>
      </c>
      <c r="D124" s="85" t="s">
        <v>64</v>
      </c>
      <c r="E124" s="87" t="s">
        <v>98</v>
      </c>
      <c r="F124" s="89"/>
      <c r="G124" s="89"/>
      <c r="H124" s="90">
        <v>43770</v>
      </c>
      <c r="I124" s="90">
        <v>43770</v>
      </c>
      <c r="J124" s="91">
        <v>30000000</v>
      </c>
      <c r="K124" s="92">
        <v>7.7499999999999999E-2</v>
      </c>
      <c r="L124" s="63">
        <v>7.4999999999999997E-2</v>
      </c>
      <c r="M124" s="93">
        <v>0.9</v>
      </c>
      <c r="N124" s="94">
        <v>1</v>
      </c>
      <c r="O124" s="94"/>
      <c r="P124" s="93">
        <v>12</v>
      </c>
      <c r="Q124" s="95">
        <f t="shared" si="65"/>
        <v>174375</v>
      </c>
      <c r="R124" s="94">
        <f t="shared" si="55"/>
        <v>18199681.976949569</v>
      </c>
      <c r="S124" s="95">
        <f t="shared" si="66"/>
        <v>105785.65149101937</v>
      </c>
      <c r="T124" s="95">
        <f t="shared" si="56"/>
        <v>68589.348508980635</v>
      </c>
      <c r="U124" s="96">
        <v>0.606656065898319</v>
      </c>
      <c r="V124" s="94"/>
      <c r="W124" s="97">
        <v>105785.65</v>
      </c>
      <c r="X124" s="95">
        <f t="shared" si="51"/>
        <v>18199681.976949569</v>
      </c>
      <c r="Y124" s="95">
        <f t="shared" si="51"/>
        <v>1.4910193713149056E-3</v>
      </c>
      <c r="Z124" s="98">
        <f t="shared" si="52"/>
        <v>18199681.976949569</v>
      </c>
      <c r="AA124" s="98">
        <f t="shared" si="52"/>
        <v>1.4910193713149056E-3</v>
      </c>
      <c r="AB124" s="115"/>
      <c r="AC124" s="115"/>
      <c r="AD124" s="98">
        <f t="shared" si="58"/>
        <v>1.4910193713149056E-3</v>
      </c>
      <c r="AE124" s="100">
        <v>0</v>
      </c>
      <c r="AF124" s="100">
        <f t="shared" si="67"/>
        <v>2.8502162414621855E-2</v>
      </c>
      <c r="AG124" s="100"/>
      <c r="AH124" s="101"/>
      <c r="AI124" s="101"/>
      <c r="AJ124" s="101"/>
      <c r="AK124" s="101"/>
      <c r="AL124" s="101"/>
      <c r="AM124" s="104">
        <f t="shared" si="53"/>
        <v>1.4910193713149056E-3</v>
      </c>
      <c r="AN124" s="104"/>
      <c r="AO124" s="104"/>
      <c r="AP124" s="104"/>
      <c r="AQ124" s="104">
        <f t="shared" si="50"/>
        <v>1.4910193713149056E-3</v>
      </c>
      <c r="AR124" s="104"/>
      <c r="AS124" s="104">
        <f t="shared" si="39"/>
        <v>1.4910193713149056E-3</v>
      </c>
      <c r="AT124" s="104">
        <f t="shared" si="40"/>
        <v>0</v>
      </c>
      <c r="AU124" s="181">
        <f t="shared" si="68"/>
        <v>3.2064932716449585E-2</v>
      </c>
      <c r="AV124" s="106"/>
      <c r="AW124" s="106"/>
      <c r="AX124" s="107"/>
      <c r="AY124" s="107"/>
      <c r="AZ124" s="107"/>
      <c r="BA124" s="107"/>
      <c r="BB124" s="108">
        <f t="shared" si="54"/>
        <v>3.2064932716449585E-2</v>
      </c>
      <c r="BC124" s="108">
        <f t="shared" si="69"/>
        <v>3.6645637390228095E-2</v>
      </c>
      <c r="BD124" s="109"/>
      <c r="BE124" s="109"/>
      <c r="BF124" s="109"/>
      <c r="BG124" s="110">
        <f t="shared" si="70"/>
        <v>4.2753243621932779E-2</v>
      </c>
      <c r="BH124" s="110"/>
      <c r="BI124" s="110">
        <f t="shared" si="41"/>
        <v>1.4910193713149056E-3</v>
      </c>
      <c r="BJ124" s="116">
        <f t="shared" si="42"/>
        <v>6.6267527613995805E-2</v>
      </c>
      <c r="BK124" s="116"/>
      <c r="BL124" s="79"/>
      <c r="BM124" s="111"/>
    </row>
    <row r="125" spans="1:66" s="112" customFormat="1" ht="25.5">
      <c r="A125" s="84">
        <f t="shared" si="57"/>
        <v>96</v>
      </c>
      <c r="B125" s="85" t="s">
        <v>232</v>
      </c>
      <c r="C125" s="86" t="s">
        <v>233</v>
      </c>
      <c r="D125" s="85" t="s">
        <v>120</v>
      </c>
      <c r="E125" s="87" t="s">
        <v>98</v>
      </c>
      <c r="F125" s="89"/>
      <c r="G125" s="89"/>
      <c r="H125" s="90">
        <v>43800</v>
      </c>
      <c r="I125" s="90">
        <v>43800</v>
      </c>
      <c r="J125" s="91">
        <v>10000000</v>
      </c>
      <c r="K125" s="92">
        <v>7.7499999999999999E-2</v>
      </c>
      <c r="L125" s="63">
        <v>7.4999999999999997E-2</v>
      </c>
      <c r="M125" s="93">
        <v>0.9</v>
      </c>
      <c r="N125" s="94">
        <v>0</v>
      </c>
      <c r="O125" s="94"/>
      <c r="P125" s="93">
        <v>12</v>
      </c>
      <c r="Q125" s="95">
        <f t="shared" si="65"/>
        <v>0</v>
      </c>
      <c r="R125" s="94">
        <f t="shared" si="55"/>
        <v>6066560.6589831896</v>
      </c>
      <c r="S125" s="95">
        <f t="shared" si="66"/>
        <v>0</v>
      </c>
      <c r="T125" s="95">
        <f t="shared" si="56"/>
        <v>0</v>
      </c>
      <c r="U125" s="96">
        <v>0.606656065898319</v>
      </c>
      <c r="V125" s="94"/>
      <c r="W125" s="97"/>
      <c r="X125" s="95">
        <f t="shared" si="51"/>
        <v>6066560.6589831896</v>
      </c>
      <c r="Y125" s="95">
        <f t="shared" si="51"/>
        <v>0</v>
      </c>
      <c r="Z125" s="98">
        <f t="shared" si="52"/>
        <v>6066560.6589831896</v>
      </c>
      <c r="AA125" s="98">
        <f t="shared" si="52"/>
        <v>0</v>
      </c>
      <c r="AB125" s="115"/>
      <c r="AC125" s="115"/>
      <c r="AD125" s="98">
        <f t="shared" si="58"/>
        <v>0</v>
      </c>
      <c r="AE125" s="100">
        <v>0</v>
      </c>
      <c r="AF125" s="100">
        <f t="shared" si="67"/>
        <v>0</v>
      </c>
      <c r="AG125" s="100"/>
      <c r="AH125" s="101"/>
      <c r="AI125" s="101"/>
      <c r="AJ125" s="101"/>
      <c r="AK125" s="101"/>
      <c r="AL125" s="101"/>
      <c r="AM125" s="104">
        <f t="shared" si="53"/>
        <v>0</v>
      </c>
      <c r="AN125" s="104"/>
      <c r="AO125" s="104"/>
      <c r="AP125" s="104"/>
      <c r="AQ125" s="104">
        <f t="shared" si="50"/>
        <v>0</v>
      </c>
      <c r="AR125" s="104"/>
      <c r="AS125" s="104">
        <f t="shared" si="39"/>
        <v>0</v>
      </c>
      <c r="AT125" s="104">
        <f t="shared" si="40"/>
        <v>0</v>
      </c>
      <c r="AU125" s="181">
        <f t="shared" si="68"/>
        <v>0</v>
      </c>
      <c r="AV125" s="106"/>
      <c r="AW125" s="106"/>
      <c r="AX125" s="107"/>
      <c r="AY125" s="107"/>
      <c r="AZ125" s="107"/>
      <c r="BA125" s="107"/>
      <c r="BB125" s="108">
        <f t="shared" si="54"/>
        <v>0</v>
      </c>
      <c r="BC125" s="108">
        <f t="shared" si="69"/>
        <v>0</v>
      </c>
      <c r="BD125" s="109"/>
      <c r="BE125" s="109"/>
      <c r="BF125" s="109"/>
      <c r="BG125" s="110">
        <f t="shared" si="70"/>
        <v>0</v>
      </c>
      <c r="BH125" s="110"/>
      <c r="BI125" s="110">
        <f t="shared" si="41"/>
        <v>0</v>
      </c>
      <c r="BJ125" s="116">
        <f t="shared" si="42"/>
        <v>0</v>
      </c>
      <c r="BK125" s="116"/>
      <c r="BL125" s="79"/>
      <c r="BM125" s="111"/>
    </row>
    <row r="126" spans="1:66" s="170" customFormat="1" ht="25.5" hidden="1">
      <c r="A126" s="150"/>
      <c r="B126" s="151" t="s">
        <v>232</v>
      </c>
      <c r="C126" s="152" t="s">
        <v>233</v>
      </c>
      <c r="D126" s="153" t="s">
        <v>64</v>
      </c>
      <c r="E126" s="127" t="s">
        <v>98</v>
      </c>
      <c r="F126" s="153"/>
      <c r="G126" s="153"/>
      <c r="H126" s="155"/>
      <c r="I126" s="155"/>
      <c r="J126" s="156"/>
      <c r="K126" s="157"/>
      <c r="L126" s="63">
        <v>7.4999999999999997E-2</v>
      </c>
      <c r="M126" s="64">
        <v>0.9</v>
      </c>
      <c r="N126" s="65">
        <v>9</v>
      </c>
      <c r="O126" s="65">
        <v>4</v>
      </c>
      <c r="P126" s="64">
        <v>12</v>
      </c>
      <c r="Q126" s="158"/>
      <c r="R126" s="158"/>
      <c r="S126" s="158"/>
      <c r="T126" s="158"/>
      <c r="U126" s="159"/>
      <c r="V126" s="158"/>
      <c r="W126" s="160"/>
      <c r="X126" s="158"/>
      <c r="Y126" s="158"/>
      <c r="Z126" s="161"/>
      <c r="AA126" s="161"/>
      <c r="AB126" s="162"/>
      <c r="AC126" s="162"/>
      <c r="AD126" s="161"/>
      <c r="AE126" s="163"/>
      <c r="AF126" s="163"/>
      <c r="AG126" s="163"/>
      <c r="AH126" s="102"/>
      <c r="AI126" s="102"/>
      <c r="AJ126" s="102"/>
      <c r="AK126" s="102"/>
      <c r="AL126" s="102"/>
      <c r="AM126" s="70"/>
      <c r="AN126" s="70"/>
      <c r="AO126" s="70"/>
      <c r="AP126" s="70"/>
      <c r="AQ126" s="70"/>
      <c r="AR126" s="70"/>
      <c r="AS126" s="69">
        <f t="shared" si="39"/>
        <v>0</v>
      </c>
      <c r="AT126" s="69">
        <f t="shared" si="40"/>
        <v>0</v>
      </c>
      <c r="AU126" s="136"/>
      <c r="AV126" s="165"/>
      <c r="AW126" s="165"/>
      <c r="AX126" s="166"/>
      <c r="AY126" s="166"/>
      <c r="AZ126" s="166"/>
      <c r="BA126" s="166"/>
      <c r="BB126" s="137"/>
      <c r="BC126" s="137"/>
      <c r="BD126" s="167"/>
      <c r="BE126" s="167"/>
      <c r="BF126" s="167"/>
      <c r="BG126" s="168"/>
      <c r="BH126" s="168"/>
      <c r="BI126" s="78">
        <f t="shared" si="41"/>
        <v>0</v>
      </c>
      <c r="BJ126" s="79">
        <f t="shared" si="42"/>
        <v>0</v>
      </c>
      <c r="BK126" s="79"/>
      <c r="BL126" s="169">
        <v>30000000</v>
      </c>
      <c r="BM126" s="186" t="s">
        <v>72</v>
      </c>
      <c r="BN126" s="170" t="s">
        <v>222</v>
      </c>
    </row>
    <row r="127" spans="1:66" s="170" customFormat="1" ht="25.5" hidden="1">
      <c r="A127" s="150"/>
      <c r="B127" s="151" t="s">
        <v>232</v>
      </c>
      <c r="C127" s="152" t="s">
        <v>233</v>
      </c>
      <c r="D127" s="153"/>
      <c r="E127" s="127"/>
      <c r="F127" s="153"/>
      <c r="G127" s="153"/>
      <c r="H127" s="155"/>
      <c r="I127" s="155"/>
      <c r="J127" s="156"/>
      <c r="K127" s="157"/>
      <c r="L127" s="63">
        <v>7.4999999999999997E-2</v>
      </c>
      <c r="M127" s="64">
        <v>0.9</v>
      </c>
      <c r="N127" s="65">
        <v>9</v>
      </c>
      <c r="O127" s="65">
        <v>4</v>
      </c>
      <c r="P127" s="64">
        <v>12</v>
      </c>
      <c r="Q127" s="158"/>
      <c r="R127" s="158"/>
      <c r="S127" s="158"/>
      <c r="T127" s="158"/>
      <c r="U127" s="159"/>
      <c r="V127" s="158"/>
      <c r="W127" s="160"/>
      <c r="X127" s="158"/>
      <c r="Y127" s="158"/>
      <c r="Z127" s="161"/>
      <c r="AA127" s="161"/>
      <c r="AB127" s="162"/>
      <c r="AC127" s="162"/>
      <c r="AD127" s="161"/>
      <c r="AE127" s="163"/>
      <c r="AF127" s="163"/>
      <c r="AG127" s="163"/>
      <c r="AH127" s="102"/>
      <c r="AI127" s="102"/>
      <c r="AJ127" s="102"/>
      <c r="AK127" s="102"/>
      <c r="AL127" s="102"/>
      <c r="AM127" s="70"/>
      <c r="AN127" s="70"/>
      <c r="AO127" s="70"/>
      <c r="AP127" s="70"/>
      <c r="AQ127" s="70"/>
      <c r="AR127" s="70"/>
      <c r="AS127" s="69">
        <f t="shared" si="39"/>
        <v>0</v>
      </c>
      <c r="AT127" s="69">
        <f t="shared" si="40"/>
        <v>0</v>
      </c>
      <c r="AU127" s="136"/>
      <c r="AV127" s="165"/>
      <c r="AW127" s="165"/>
      <c r="AX127" s="166"/>
      <c r="AY127" s="166"/>
      <c r="AZ127" s="166"/>
      <c r="BA127" s="166"/>
      <c r="BB127" s="137"/>
      <c r="BC127" s="137"/>
      <c r="BD127" s="167"/>
      <c r="BE127" s="167"/>
      <c r="BF127" s="167"/>
      <c r="BG127" s="168"/>
      <c r="BH127" s="168"/>
      <c r="BI127" s="78">
        <f t="shared" si="41"/>
        <v>0</v>
      </c>
      <c r="BJ127" s="79">
        <f t="shared" si="42"/>
        <v>0</v>
      </c>
      <c r="BK127" s="79"/>
      <c r="BL127" s="169">
        <v>30000000</v>
      </c>
      <c r="BM127" s="186" t="s">
        <v>72</v>
      </c>
      <c r="BN127" s="170" t="s">
        <v>222</v>
      </c>
    </row>
    <row r="128" spans="1:66" s="170" customFormat="1" ht="25.5" hidden="1">
      <c r="A128" s="150"/>
      <c r="B128" s="151" t="s">
        <v>232</v>
      </c>
      <c r="C128" s="152" t="s">
        <v>233</v>
      </c>
      <c r="D128" s="153"/>
      <c r="E128" s="127"/>
      <c r="F128" s="153"/>
      <c r="G128" s="153"/>
      <c r="H128" s="155"/>
      <c r="I128" s="155"/>
      <c r="J128" s="156"/>
      <c r="K128" s="157"/>
      <c r="L128" s="63">
        <v>7.4999999999999997E-2</v>
      </c>
      <c r="M128" s="64">
        <v>0.9</v>
      </c>
      <c r="N128" s="65">
        <v>9</v>
      </c>
      <c r="O128" s="65">
        <v>4</v>
      </c>
      <c r="P128" s="64">
        <v>12</v>
      </c>
      <c r="Q128" s="158"/>
      <c r="R128" s="158"/>
      <c r="S128" s="158"/>
      <c r="T128" s="158"/>
      <c r="U128" s="159"/>
      <c r="V128" s="158"/>
      <c r="W128" s="160"/>
      <c r="X128" s="158"/>
      <c r="Y128" s="158"/>
      <c r="Z128" s="161"/>
      <c r="AA128" s="161"/>
      <c r="AB128" s="162"/>
      <c r="AC128" s="162"/>
      <c r="AD128" s="161"/>
      <c r="AE128" s="163"/>
      <c r="AF128" s="163"/>
      <c r="AG128" s="163"/>
      <c r="AH128" s="102"/>
      <c r="AI128" s="102"/>
      <c r="AJ128" s="102"/>
      <c r="AK128" s="102"/>
      <c r="AL128" s="102"/>
      <c r="AM128" s="70"/>
      <c r="AN128" s="70"/>
      <c r="AO128" s="70"/>
      <c r="AP128" s="70"/>
      <c r="AQ128" s="70"/>
      <c r="AR128" s="70"/>
      <c r="AS128" s="69">
        <f t="shared" si="39"/>
        <v>0</v>
      </c>
      <c r="AT128" s="69">
        <f t="shared" si="40"/>
        <v>0</v>
      </c>
      <c r="AU128" s="136"/>
      <c r="AV128" s="165"/>
      <c r="AW128" s="165"/>
      <c r="AX128" s="166"/>
      <c r="AY128" s="166"/>
      <c r="AZ128" s="166"/>
      <c r="BA128" s="166"/>
      <c r="BB128" s="137"/>
      <c r="BC128" s="137"/>
      <c r="BD128" s="167"/>
      <c r="BE128" s="167"/>
      <c r="BF128" s="167"/>
      <c r="BG128" s="168"/>
      <c r="BH128" s="168"/>
      <c r="BI128" s="78">
        <f t="shared" si="41"/>
        <v>0</v>
      </c>
      <c r="BJ128" s="79">
        <f t="shared" si="42"/>
        <v>0</v>
      </c>
      <c r="BK128" s="79"/>
      <c r="BL128" s="169">
        <v>20000000</v>
      </c>
      <c r="BM128" s="186" t="s">
        <v>72</v>
      </c>
      <c r="BN128" s="170" t="s">
        <v>222</v>
      </c>
    </row>
    <row r="129" spans="1:67" s="81" customFormat="1" ht="25.5">
      <c r="A129" s="56">
        <f>A125+1</f>
        <v>97</v>
      </c>
      <c r="B129" s="57" t="s">
        <v>234</v>
      </c>
      <c r="C129" s="58" t="s">
        <v>235</v>
      </c>
      <c r="D129" s="57" t="s">
        <v>64</v>
      </c>
      <c r="E129" s="57" t="s">
        <v>65</v>
      </c>
      <c r="F129" s="57"/>
      <c r="G129" s="57"/>
      <c r="H129" s="60">
        <v>43525</v>
      </c>
      <c r="I129" s="61" t="s">
        <v>94</v>
      </c>
      <c r="J129" s="62">
        <v>1000000</v>
      </c>
      <c r="K129" s="63">
        <v>7.7499999999999999E-2</v>
      </c>
      <c r="L129" s="63">
        <v>7.4999999999999997E-2</v>
      </c>
      <c r="M129" s="64">
        <v>0.9</v>
      </c>
      <c r="N129" s="65">
        <v>9</v>
      </c>
      <c r="O129" s="65">
        <v>4</v>
      </c>
      <c r="P129" s="64">
        <v>12</v>
      </c>
      <c r="Q129" s="65">
        <f t="shared" ref="Q129:Q143" si="71">J129*K129*M129*N129/P129</f>
        <v>52312.5</v>
      </c>
      <c r="R129" s="65">
        <f t="shared" si="55"/>
        <v>606656.06589831901</v>
      </c>
      <c r="S129" s="65">
        <f t="shared" ref="S129:S143" si="72">R129*K129*M129*N129/P129</f>
        <v>31735.695447305814</v>
      </c>
      <c r="T129" s="65">
        <f t="shared" si="56"/>
        <v>20576.804552694186</v>
      </c>
      <c r="U129" s="66">
        <v>0.606656065898319</v>
      </c>
      <c r="V129" s="65"/>
      <c r="W129" s="64"/>
      <c r="X129" s="65">
        <f t="shared" si="51"/>
        <v>606656.06589831901</v>
      </c>
      <c r="Y129" s="65">
        <f t="shared" si="51"/>
        <v>31735.695447305814</v>
      </c>
      <c r="Z129" s="67">
        <f t="shared" si="52"/>
        <v>606656.06589831901</v>
      </c>
      <c r="AA129" s="67">
        <f t="shared" si="52"/>
        <v>31735.695447305814</v>
      </c>
      <c r="AB129" s="67"/>
      <c r="AC129" s="67"/>
      <c r="AD129" s="67">
        <f t="shared" si="58"/>
        <v>31735.695447305814</v>
      </c>
      <c r="AE129" s="68">
        <v>1091980.9186169743</v>
      </c>
      <c r="AF129" s="68">
        <f t="shared" ref="AF129:AF143" si="73">AD129/K129/M129/9*P129</f>
        <v>606656.06589831901</v>
      </c>
      <c r="AG129" s="68"/>
      <c r="AH129" s="69"/>
      <c r="AI129" s="69"/>
      <c r="AJ129" s="70"/>
      <c r="AK129" s="70"/>
      <c r="AL129" s="71"/>
      <c r="AM129" s="69">
        <f t="shared" si="53"/>
        <v>31735.695447305814</v>
      </c>
      <c r="AN129" s="69"/>
      <c r="AO129" s="69"/>
      <c r="AP129" s="69"/>
      <c r="AQ129" s="69">
        <f t="shared" si="50"/>
        <v>31735.695447305814</v>
      </c>
      <c r="AR129" s="69"/>
      <c r="AS129" s="69">
        <f t="shared" si="39"/>
        <v>31735.695447305814</v>
      </c>
      <c r="AT129" s="69">
        <f t="shared" si="40"/>
        <v>22500</v>
      </c>
      <c r="AU129" s="72">
        <f t="shared" ref="AU129:AU143" si="74">AD129/K129/M129/8*P129</f>
        <v>682488.07413560885</v>
      </c>
      <c r="AV129" s="72"/>
      <c r="AW129" s="72"/>
      <c r="AX129" s="73"/>
      <c r="AY129" s="74"/>
      <c r="AZ129" s="74"/>
      <c r="BA129" s="75"/>
      <c r="BB129" s="76">
        <f t="shared" si="54"/>
        <v>682488.07413560885</v>
      </c>
      <c r="BC129" s="76">
        <f t="shared" ref="BC129:BC143" si="75">AM129/K129/M129/7*P129</f>
        <v>779986.3704406959</v>
      </c>
      <c r="BD129" s="77"/>
      <c r="BE129" s="77"/>
      <c r="BF129" s="77"/>
      <c r="BG129" s="78">
        <f>AQ129/K129/M129/6*P129</f>
        <v>909984.09884747851</v>
      </c>
      <c r="BH129" s="78"/>
      <c r="BI129" s="78">
        <f t="shared" si="41"/>
        <v>9235.695447305814</v>
      </c>
      <c r="BJ129" s="79">
        <f t="shared" si="42"/>
        <v>1410475.3532135917</v>
      </c>
      <c r="BK129" s="79">
        <v>1000000</v>
      </c>
      <c r="BL129" s="79">
        <v>400000</v>
      </c>
      <c r="BM129" s="80"/>
      <c r="BN129" s="81" t="s">
        <v>64</v>
      </c>
    </row>
    <row r="130" spans="1:67" s="185" customFormat="1" ht="25.5">
      <c r="A130" s="171">
        <f t="shared" si="57"/>
        <v>98</v>
      </c>
      <c r="B130" s="87" t="s">
        <v>234</v>
      </c>
      <c r="C130" s="172" t="s">
        <v>235</v>
      </c>
      <c r="D130" s="87" t="s">
        <v>120</v>
      </c>
      <c r="E130" s="87" t="s">
        <v>65</v>
      </c>
      <c r="F130" s="87"/>
      <c r="G130" s="87"/>
      <c r="H130" s="174">
        <v>43525</v>
      </c>
      <c r="I130" s="189" t="s">
        <v>128</v>
      </c>
      <c r="J130" s="175">
        <v>1000000</v>
      </c>
      <c r="K130" s="121">
        <v>7.7499999999999999E-2</v>
      </c>
      <c r="L130" s="121">
        <v>7.4999999999999997E-2</v>
      </c>
      <c r="M130" s="176">
        <v>0.9</v>
      </c>
      <c r="N130" s="177">
        <v>9</v>
      </c>
      <c r="O130" s="177"/>
      <c r="P130" s="176">
        <v>12</v>
      </c>
      <c r="Q130" s="177">
        <f t="shared" si="71"/>
        <v>52312.5</v>
      </c>
      <c r="R130" s="177">
        <f t="shared" si="55"/>
        <v>606656.06589831901</v>
      </c>
      <c r="S130" s="177">
        <f t="shared" si="72"/>
        <v>31735.695447305814</v>
      </c>
      <c r="T130" s="177">
        <f t="shared" si="56"/>
        <v>20576.804552694186</v>
      </c>
      <c r="U130" s="178">
        <v>0.606656065898319</v>
      </c>
      <c r="V130" s="177"/>
      <c r="W130" s="176"/>
      <c r="X130" s="177">
        <f t="shared" si="51"/>
        <v>606656.06589831901</v>
      </c>
      <c r="Y130" s="177">
        <f t="shared" si="51"/>
        <v>31735.695447305814</v>
      </c>
      <c r="Z130" s="179">
        <f t="shared" si="52"/>
        <v>606656.06589831901</v>
      </c>
      <c r="AA130" s="179">
        <f t="shared" si="52"/>
        <v>31735.695447305814</v>
      </c>
      <c r="AB130" s="256"/>
      <c r="AC130" s="256"/>
      <c r="AD130" s="179">
        <f t="shared" si="58"/>
        <v>31735.695447305814</v>
      </c>
      <c r="AE130" s="180">
        <v>0</v>
      </c>
      <c r="AF130" s="180">
        <f t="shared" si="73"/>
        <v>606656.06589831901</v>
      </c>
      <c r="AG130" s="180"/>
      <c r="AH130" s="104">
        <v>-31735.7</v>
      </c>
      <c r="AI130" s="104"/>
      <c r="AJ130" s="104"/>
      <c r="AK130" s="104"/>
      <c r="AL130" s="104"/>
      <c r="AM130" s="104">
        <f t="shared" si="53"/>
        <v>-4.5526941867137793E-3</v>
      </c>
      <c r="AN130" s="104"/>
      <c r="AO130" s="104"/>
      <c r="AP130" s="104"/>
      <c r="AQ130" s="104">
        <f t="shared" si="50"/>
        <v>-4.5526941867137793E-3</v>
      </c>
      <c r="AR130" s="104"/>
      <c r="AS130" s="104">
        <f t="shared" si="39"/>
        <v>-4.5526941867137793E-3</v>
      </c>
      <c r="AT130" s="104">
        <f t="shared" si="40"/>
        <v>0</v>
      </c>
      <c r="AU130" s="181">
        <f t="shared" si="74"/>
        <v>682488.07413560885</v>
      </c>
      <c r="AV130" s="181"/>
      <c r="AW130" s="105">
        <v>-682488.07</v>
      </c>
      <c r="AX130" s="182"/>
      <c r="AY130" s="182"/>
      <c r="AZ130" s="182"/>
      <c r="BA130" s="182"/>
      <c r="BB130" s="108">
        <f t="shared" si="54"/>
        <v>4.1356089059263468E-3</v>
      </c>
      <c r="BC130" s="108">
        <f t="shared" si="75"/>
        <v>-0.11189417355978568</v>
      </c>
      <c r="BD130" s="183"/>
      <c r="BE130" s="183"/>
      <c r="BF130" s="183"/>
      <c r="BG130" s="110">
        <f>AQ130/K130/M130/6*P130</f>
        <v>-0.13054320248641663</v>
      </c>
      <c r="BH130" s="110"/>
      <c r="BI130" s="110">
        <f t="shared" si="41"/>
        <v>-4.5526941867137793E-3</v>
      </c>
      <c r="BJ130" s="116">
        <f t="shared" si="42"/>
        <v>-0.20234196385394576</v>
      </c>
      <c r="BK130" s="116"/>
      <c r="BL130" s="79"/>
      <c r="BM130" s="184"/>
    </row>
    <row r="131" spans="1:67" s="81" customFormat="1" ht="25.5">
      <c r="A131" s="171">
        <f t="shared" si="57"/>
        <v>99</v>
      </c>
      <c r="B131" s="87" t="s">
        <v>236</v>
      </c>
      <c r="C131" s="172" t="s">
        <v>237</v>
      </c>
      <c r="D131" s="87" t="s">
        <v>64</v>
      </c>
      <c r="E131" s="87" t="s">
        <v>65</v>
      </c>
      <c r="F131" s="87"/>
      <c r="G131" s="87"/>
      <c r="H131" s="174">
        <v>43525</v>
      </c>
      <c r="I131" s="174" t="s">
        <v>117</v>
      </c>
      <c r="J131" s="175">
        <v>1000000</v>
      </c>
      <c r="K131" s="121">
        <v>7.7499999999999999E-2</v>
      </c>
      <c r="L131" s="121">
        <v>7.4999999999999997E-2</v>
      </c>
      <c r="M131" s="176">
        <v>0.9</v>
      </c>
      <c r="N131" s="177">
        <v>9</v>
      </c>
      <c r="O131" s="177">
        <v>4</v>
      </c>
      <c r="P131" s="176">
        <v>12</v>
      </c>
      <c r="Q131" s="177">
        <f t="shared" si="71"/>
        <v>52312.5</v>
      </c>
      <c r="R131" s="177">
        <f t="shared" si="55"/>
        <v>606656.06589831901</v>
      </c>
      <c r="S131" s="177">
        <f t="shared" si="72"/>
        <v>31735.695447305814</v>
      </c>
      <c r="T131" s="177">
        <f t="shared" si="56"/>
        <v>20576.804552694186</v>
      </c>
      <c r="U131" s="178">
        <v>0.606656065898319</v>
      </c>
      <c r="V131" s="177"/>
      <c r="W131" s="176"/>
      <c r="X131" s="177">
        <f t="shared" si="51"/>
        <v>606656.06589831901</v>
      </c>
      <c r="Y131" s="177">
        <f t="shared" si="51"/>
        <v>31735.695447305814</v>
      </c>
      <c r="Z131" s="179">
        <f t="shared" si="52"/>
        <v>606656.06589831901</v>
      </c>
      <c r="AA131" s="179">
        <f t="shared" si="52"/>
        <v>31735.695447305814</v>
      </c>
      <c r="AB131" s="179"/>
      <c r="AC131" s="179"/>
      <c r="AD131" s="179">
        <f t="shared" si="58"/>
        <v>31735.695447305814</v>
      </c>
      <c r="AE131" s="180">
        <v>545990.45930848713</v>
      </c>
      <c r="AF131" s="180">
        <f t="shared" si="73"/>
        <v>606656.06589831901</v>
      </c>
      <c r="AG131" s="180"/>
      <c r="AH131" s="104"/>
      <c r="AI131" s="104"/>
      <c r="AJ131" s="104"/>
      <c r="AK131" s="104"/>
      <c r="AL131" s="104"/>
      <c r="AM131" s="104">
        <f t="shared" si="53"/>
        <v>31735.695447305814</v>
      </c>
      <c r="AN131" s="104"/>
      <c r="AO131" s="413">
        <v>58372.15</v>
      </c>
      <c r="AP131" s="414"/>
      <c r="AQ131" s="104">
        <f t="shared" si="50"/>
        <v>-26636.454552694187</v>
      </c>
      <c r="AR131" s="104"/>
      <c r="AS131" s="104">
        <f t="shared" si="39"/>
        <v>-26636.454552694187</v>
      </c>
      <c r="AT131" s="104">
        <f t="shared" si="40"/>
        <v>0</v>
      </c>
      <c r="AU131" s="181">
        <f t="shared" si="74"/>
        <v>682488.07413560885</v>
      </c>
      <c r="AV131" s="181"/>
      <c r="AW131" s="181"/>
      <c r="AX131" s="182"/>
      <c r="AY131" s="182"/>
      <c r="AZ131" s="182"/>
      <c r="BA131" s="182"/>
      <c r="BB131" s="108">
        <f t="shared" si="54"/>
        <v>682488.07413560885</v>
      </c>
      <c r="BC131" s="108">
        <f t="shared" si="75"/>
        <v>779986.3704406959</v>
      </c>
      <c r="BD131" s="183"/>
      <c r="BE131" s="263">
        <v>2000000</v>
      </c>
      <c r="BF131" s="183"/>
      <c r="BG131" s="110">
        <f>AQ131/K131/M131/6*P131</f>
        <v>-763769.30617044261</v>
      </c>
      <c r="BH131" s="110"/>
      <c r="BI131" s="110"/>
      <c r="BJ131" s="116">
        <f t="shared" si="42"/>
        <v>-1183842.424564186</v>
      </c>
      <c r="BK131" s="116"/>
      <c r="BL131" s="79"/>
      <c r="BM131" s="190" t="s">
        <v>238</v>
      </c>
      <c r="BN131" s="81" t="s">
        <v>64</v>
      </c>
    </row>
    <row r="132" spans="1:67" s="81" customFormat="1" ht="38.25">
      <c r="A132" s="56">
        <f t="shared" si="57"/>
        <v>100</v>
      </c>
      <c r="B132" s="57" t="s">
        <v>239</v>
      </c>
      <c r="C132" s="58" t="s">
        <v>240</v>
      </c>
      <c r="D132" s="117" t="s">
        <v>241</v>
      </c>
      <c r="E132" s="57" t="s">
        <v>65</v>
      </c>
      <c r="F132" s="57"/>
      <c r="G132" s="57"/>
      <c r="H132" s="60">
        <v>43525</v>
      </c>
      <c r="I132" s="61" t="s">
        <v>242</v>
      </c>
      <c r="J132" s="62">
        <v>10000000</v>
      </c>
      <c r="K132" s="63">
        <v>7.7499999999999999E-2</v>
      </c>
      <c r="L132" s="63">
        <v>7.4999999999999997E-2</v>
      </c>
      <c r="M132" s="64">
        <v>0.9</v>
      </c>
      <c r="N132" s="65">
        <v>9</v>
      </c>
      <c r="O132" s="65">
        <v>5</v>
      </c>
      <c r="P132" s="64">
        <v>12</v>
      </c>
      <c r="Q132" s="65">
        <f t="shared" si="71"/>
        <v>523125</v>
      </c>
      <c r="R132" s="65">
        <f t="shared" si="55"/>
        <v>6066560.6589831896</v>
      </c>
      <c r="S132" s="65">
        <f t="shared" si="72"/>
        <v>317356.95447305811</v>
      </c>
      <c r="T132" s="65">
        <f t="shared" si="56"/>
        <v>205768.04552694189</v>
      </c>
      <c r="U132" s="66">
        <v>0.606656065898319</v>
      </c>
      <c r="V132" s="65"/>
      <c r="W132" s="64"/>
      <c r="X132" s="65">
        <f t="shared" si="51"/>
        <v>6066560.6589831896</v>
      </c>
      <c r="Y132" s="65">
        <f t="shared" si="51"/>
        <v>317356.95447305811</v>
      </c>
      <c r="Z132" s="67">
        <f t="shared" si="52"/>
        <v>6066560.6589831896</v>
      </c>
      <c r="AA132" s="67">
        <f t="shared" si="52"/>
        <v>317356.95447305811</v>
      </c>
      <c r="AB132" s="67"/>
      <c r="AC132" s="67"/>
      <c r="AD132" s="67">
        <f t="shared" si="58"/>
        <v>317356.95447305811</v>
      </c>
      <c r="AE132" s="68">
        <v>6551885.5117018456</v>
      </c>
      <c r="AF132" s="68">
        <f t="shared" si="73"/>
        <v>6066560.6589831896</v>
      </c>
      <c r="AG132" s="68"/>
      <c r="AH132" s="69"/>
      <c r="AI132" s="69"/>
      <c r="AJ132" s="70"/>
      <c r="AK132" s="70"/>
      <c r="AL132" s="71"/>
      <c r="AM132" s="69">
        <f t="shared" si="53"/>
        <v>317356.95447305811</v>
      </c>
      <c r="AN132" s="69"/>
      <c r="AO132" s="69"/>
      <c r="AP132" s="69"/>
      <c r="AQ132" s="69">
        <f>BG132*7.75%*0.9*6/12</f>
        <v>139500</v>
      </c>
      <c r="AR132" s="69">
        <v>112500</v>
      </c>
      <c r="AS132" s="69">
        <f t="shared" si="39"/>
        <v>27000</v>
      </c>
      <c r="AT132" s="69">
        <f t="shared" si="40"/>
        <v>27000</v>
      </c>
      <c r="AU132" s="72">
        <f t="shared" si="74"/>
        <v>6824880.7413560878</v>
      </c>
      <c r="AV132" s="72"/>
      <c r="AW132" s="72"/>
      <c r="AX132" s="73"/>
      <c r="AY132" s="74"/>
      <c r="AZ132" s="74"/>
      <c r="BA132" s="75"/>
      <c r="BB132" s="76">
        <f t="shared" si="54"/>
        <v>6824880.7413560878</v>
      </c>
      <c r="BC132" s="76">
        <f t="shared" si="75"/>
        <v>7799863.7044069581</v>
      </c>
      <c r="BD132" s="77"/>
      <c r="BE132" s="77"/>
      <c r="BF132" s="77"/>
      <c r="BG132" s="78">
        <v>4000000</v>
      </c>
      <c r="BH132" s="78">
        <v>4000000</v>
      </c>
      <c r="BI132" s="78">
        <f t="shared" si="41"/>
        <v>0</v>
      </c>
      <c r="BJ132" s="79">
        <f t="shared" si="42"/>
        <v>1200000</v>
      </c>
      <c r="BK132" s="79">
        <v>1200000</v>
      </c>
      <c r="BL132" s="79"/>
      <c r="BM132" s="80"/>
      <c r="BN132" s="56" t="s">
        <v>76</v>
      </c>
      <c r="BO132" s="378">
        <v>4000000</v>
      </c>
    </row>
    <row r="133" spans="1:67" s="81" customFormat="1" ht="38.25">
      <c r="A133" s="56">
        <f t="shared" si="57"/>
        <v>101</v>
      </c>
      <c r="B133" s="57" t="s">
        <v>239</v>
      </c>
      <c r="C133" s="58" t="s">
        <v>240</v>
      </c>
      <c r="D133" s="57" t="s">
        <v>120</v>
      </c>
      <c r="E133" s="57" t="s">
        <v>65</v>
      </c>
      <c r="F133" s="57"/>
      <c r="G133" s="57"/>
      <c r="H133" s="60">
        <v>43525</v>
      </c>
      <c r="I133" s="61" t="s">
        <v>243</v>
      </c>
      <c r="J133" s="62">
        <v>2000000</v>
      </c>
      <c r="K133" s="63">
        <v>7.7499999999999999E-2</v>
      </c>
      <c r="L133" s="63">
        <v>7.4999999999999997E-2</v>
      </c>
      <c r="M133" s="64">
        <v>0.9</v>
      </c>
      <c r="N133" s="65">
        <v>9</v>
      </c>
      <c r="O133" s="65">
        <v>4</v>
      </c>
      <c r="P133" s="64">
        <v>12</v>
      </c>
      <c r="Q133" s="65">
        <f t="shared" si="71"/>
        <v>104625</v>
      </c>
      <c r="R133" s="65">
        <f t="shared" si="55"/>
        <v>1213312.131796638</v>
      </c>
      <c r="S133" s="65">
        <f t="shared" si="72"/>
        <v>63471.390894611628</v>
      </c>
      <c r="T133" s="65">
        <f t="shared" si="56"/>
        <v>41153.609105388372</v>
      </c>
      <c r="U133" s="66">
        <v>0.606656065898319</v>
      </c>
      <c r="V133" s="65"/>
      <c r="W133" s="64"/>
      <c r="X133" s="65">
        <f t="shared" si="51"/>
        <v>1213312.131796638</v>
      </c>
      <c r="Y133" s="65">
        <f t="shared" si="51"/>
        <v>63471.390894611628</v>
      </c>
      <c r="Z133" s="67">
        <f t="shared" si="52"/>
        <v>1213312.131796638</v>
      </c>
      <c r="AA133" s="67">
        <f t="shared" si="52"/>
        <v>63471.390894611628</v>
      </c>
      <c r="AB133" s="114"/>
      <c r="AC133" s="114"/>
      <c r="AD133" s="67">
        <f t="shared" si="58"/>
        <v>63471.390894611628</v>
      </c>
      <c r="AE133" s="68">
        <v>0</v>
      </c>
      <c r="AF133" s="68">
        <f t="shared" si="73"/>
        <v>1213312.131796638</v>
      </c>
      <c r="AG133" s="68"/>
      <c r="AH133" s="69"/>
      <c r="AI133" s="69"/>
      <c r="AJ133" s="70"/>
      <c r="AK133" s="70"/>
      <c r="AL133" s="71"/>
      <c r="AM133" s="69">
        <f t="shared" si="53"/>
        <v>63471.390894611628</v>
      </c>
      <c r="AN133" s="69"/>
      <c r="AO133" s="69"/>
      <c r="AP133" s="69"/>
      <c r="AQ133" s="69">
        <f>AM133-AN133-AO133-AP133+177856.95</f>
        <v>241328.34089461164</v>
      </c>
      <c r="AR133" s="69"/>
      <c r="AS133" s="69">
        <f t="shared" si="39"/>
        <v>241328.34089461164</v>
      </c>
      <c r="AT133" s="69">
        <f t="shared" si="40"/>
        <v>153000</v>
      </c>
      <c r="AU133" s="72">
        <f t="shared" si="74"/>
        <v>1364976.1482712177</v>
      </c>
      <c r="AV133" s="72"/>
      <c r="AW133" s="72"/>
      <c r="AX133" s="73"/>
      <c r="AY133" s="74"/>
      <c r="AZ133" s="74"/>
      <c r="BA133" s="75"/>
      <c r="BB133" s="76">
        <f t="shared" si="54"/>
        <v>1364976.1482712177</v>
      </c>
      <c r="BC133" s="76">
        <f t="shared" si="75"/>
        <v>1559972.7408813918</v>
      </c>
      <c r="BD133" s="77"/>
      <c r="BE133" s="77"/>
      <c r="BF133" s="77"/>
      <c r="BG133" s="78">
        <f t="shared" ref="BG133:BG143" si="76">AQ133/K133/M133/6*P133</f>
        <v>6919809.0579100102</v>
      </c>
      <c r="BH133" s="78"/>
      <c r="BI133" s="78">
        <f t="shared" si="41"/>
        <v>88328.34089461164</v>
      </c>
      <c r="BJ133" s="79">
        <f t="shared" si="42"/>
        <v>10725704.039760517</v>
      </c>
      <c r="BK133" s="79">
        <f>8000000-BK132</f>
        <v>6800000</v>
      </c>
      <c r="BL133" s="79">
        <v>8000000</v>
      </c>
      <c r="BM133" s="302" t="s">
        <v>99</v>
      </c>
      <c r="BN133" s="303" t="s">
        <v>76</v>
      </c>
    </row>
    <row r="134" spans="1:67" s="112" customFormat="1" ht="25.5">
      <c r="A134" s="84">
        <f t="shared" si="57"/>
        <v>102</v>
      </c>
      <c r="B134" s="85" t="s">
        <v>244</v>
      </c>
      <c r="C134" s="86" t="s">
        <v>245</v>
      </c>
      <c r="D134" s="85" t="s">
        <v>64</v>
      </c>
      <c r="E134" s="87" t="s">
        <v>65</v>
      </c>
      <c r="F134" s="89"/>
      <c r="G134" s="89"/>
      <c r="H134" s="90">
        <v>43586</v>
      </c>
      <c r="I134" s="90">
        <v>43586</v>
      </c>
      <c r="J134" s="91">
        <v>1500000</v>
      </c>
      <c r="K134" s="92">
        <v>7.7499999999999999E-2</v>
      </c>
      <c r="L134" s="63">
        <v>7.4999999999999997E-2</v>
      </c>
      <c r="M134" s="93">
        <v>0.9</v>
      </c>
      <c r="N134" s="94">
        <v>7</v>
      </c>
      <c r="O134" s="94"/>
      <c r="P134" s="93">
        <v>12</v>
      </c>
      <c r="Q134" s="95">
        <f t="shared" si="71"/>
        <v>61031.25</v>
      </c>
      <c r="R134" s="94">
        <f t="shared" si="55"/>
        <v>909984.09884747851</v>
      </c>
      <c r="S134" s="95">
        <f t="shared" si="72"/>
        <v>37024.978021856783</v>
      </c>
      <c r="T134" s="95">
        <f t="shared" si="56"/>
        <v>24006.271978143217</v>
      </c>
      <c r="U134" s="96">
        <v>0.606656065898319</v>
      </c>
      <c r="V134" s="94"/>
      <c r="W134" s="97"/>
      <c r="X134" s="95">
        <f t="shared" si="51"/>
        <v>909984.09884747851</v>
      </c>
      <c r="Y134" s="95">
        <f t="shared" si="51"/>
        <v>37024.978021856783</v>
      </c>
      <c r="Z134" s="98">
        <f t="shared" si="52"/>
        <v>909984.09884747851</v>
      </c>
      <c r="AA134" s="98">
        <f t="shared" si="52"/>
        <v>37024.978021856783</v>
      </c>
      <c r="AB134" s="98">
        <f>58125-AB135-AB136</f>
        <v>37024.980000000003</v>
      </c>
      <c r="AC134" s="98"/>
      <c r="AD134" s="98">
        <f t="shared" si="58"/>
        <v>-1.9781432201853022E-3</v>
      </c>
      <c r="AE134" s="100">
        <v>304310.54168138606</v>
      </c>
      <c r="AF134" s="100">
        <f t="shared" si="73"/>
        <v>-3.7813968366744131E-2</v>
      </c>
      <c r="AG134" s="100"/>
      <c r="AH134" s="101"/>
      <c r="AI134" s="101"/>
      <c r="AJ134" s="101"/>
      <c r="AK134" s="101"/>
      <c r="AL134" s="101"/>
      <c r="AM134" s="104">
        <f t="shared" si="53"/>
        <v>-1.9781432201853022E-3</v>
      </c>
      <c r="AN134" s="104"/>
      <c r="AO134" s="104"/>
      <c r="AP134" s="104"/>
      <c r="AQ134" s="104">
        <f t="shared" si="50"/>
        <v>-1.9781432201853022E-3</v>
      </c>
      <c r="AR134" s="104"/>
      <c r="AS134" s="104">
        <f t="shared" si="39"/>
        <v>-1.9781432201853022E-3</v>
      </c>
      <c r="AT134" s="104">
        <f t="shared" si="40"/>
        <v>0</v>
      </c>
      <c r="AU134" s="105">
        <f t="shared" si="74"/>
        <v>-4.2540714412587145E-2</v>
      </c>
      <c r="AV134" s="106"/>
      <c r="AW134" s="106"/>
      <c r="AX134" s="107"/>
      <c r="AY134" s="107"/>
      <c r="AZ134" s="107"/>
      <c r="BA134" s="107"/>
      <c r="BB134" s="108">
        <f t="shared" si="54"/>
        <v>-4.2540714412587145E-2</v>
      </c>
      <c r="BC134" s="108">
        <f t="shared" si="75"/>
        <v>-4.8617959328671023E-2</v>
      </c>
      <c r="BD134" s="109"/>
      <c r="BE134" s="109"/>
      <c r="BF134" s="109"/>
      <c r="BG134" s="110">
        <f t="shared" si="76"/>
        <v>-5.6720952550116194E-2</v>
      </c>
      <c r="BH134" s="110"/>
      <c r="BI134" s="110">
        <f t="shared" si="41"/>
        <v>-1.9781432201853022E-3</v>
      </c>
      <c r="BJ134" s="116">
        <f t="shared" si="42"/>
        <v>-8.791747645268011E-2</v>
      </c>
      <c r="BK134" s="116"/>
      <c r="BL134" s="79"/>
      <c r="BM134" s="111"/>
    </row>
    <row r="135" spans="1:67" s="81" customFormat="1" ht="38.25">
      <c r="A135" s="56">
        <f t="shared" si="57"/>
        <v>103</v>
      </c>
      <c r="B135" s="57" t="s">
        <v>244</v>
      </c>
      <c r="C135" s="58" t="s">
        <v>245</v>
      </c>
      <c r="D135" s="57" t="s">
        <v>120</v>
      </c>
      <c r="E135" s="57" t="s">
        <v>65</v>
      </c>
      <c r="F135" s="57"/>
      <c r="G135" s="57"/>
      <c r="H135" s="60">
        <v>43617</v>
      </c>
      <c r="I135" s="60">
        <v>43617</v>
      </c>
      <c r="J135" s="62">
        <v>1500000</v>
      </c>
      <c r="K135" s="63">
        <v>7.7499999999999999E-2</v>
      </c>
      <c r="L135" s="63">
        <v>7.4999999999999997E-2</v>
      </c>
      <c r="M135" s="64">
        <v>0.9</v>
      </c>
      <c r="N135" s="65">
        <v>6</v>
      </c>
      <c r="O135" s="65">
        <v>4</v>
      </c>
      <c r="P135" s="64">
        <v>12</v>
      </c>
      <c r="Q135" s="65">
        <f t="shared" si="71"/>
        <v>52312.5</v>
      </c>
      <c r="R135" s="65">
        <f t="shared" si="55"/>
        <v>909984.09884747851</v>
      </c>
      <c r="S135" s="65">
        <f t="shared" si="72"/>
        <v>31735.695447305814</v>
      </c>
      <c r="T135" s="65">
        <f t="shared" si="56"/>
        <v>20576.804552694186</v>
      </c>
      <c r="U135" s="66">
        <v>0.606656065898319</v>
      </c>
      <c r="V135" s="65"/>
      <c r="W135" s="64"/>
      <c r="X135" s="65">
        <f t="shared" si="51"/>
        <v>909984.09884747851</v>
      </c>
      <c r="Y135" s="65">
        <f t="shared" si="51"/>
        <v>31735.695447305814</v>
      </c>
      <c r="Z135" s="67">
        <f t="shared" si="52"/>
        <v>909984.09884747851</v>
      </c>
      <c r="AA135" s="67">
        <f t="shared" si="52"/>
        <v>31735.695447305814</v>
      </c>
      <c r="AB135" s="114">
        <v>14047.64</v>
      </c>
      <c r="AC135" s="114"/>
      <c r="AD135" s="67">
        <f t="shared" si="58"/>
        <v>17688.055447305815</v>
      </c>
      <c r="AE135" s="68">
        <v>0</v>
      </c>
      <c r="AF135" s="68">
        <f t="shared" si="73"/>
        <v>338122.92372388655</v>
      </c>
      <c r="AG135" s="68"/>
      <c r="AH135" s="69"/>
      <c r="AI135" s="69"/>
      <c r="AJ135" s="70"/>
      <c r="AK135" s="70"/>
      <c r="AL135" s="71"/>
      <c r="AM135" s="69">
        <f t="shared" si="53"/>
        <v>17688.055447305815</v>
      </c>
      <c r="AN135" s="69"/>
      <c r="AO135" s="69"/>
      <c r="AP135" s="69"/>
      <c r="AQ135" s="69">
        <f t="shared" si="50"/>
        <v>17688.055447305815</v>
      </c>
      <c r="AR135" s="69"/>
      <c r="AS135" s="69">
        <f t="shared" si="39"/>
        <v>17688.055447305815</v>
      </c>
      <c r="AT135" s="69">
        <f t="shared" si="40"/>
        <v>17688.055499999999</v>
      </c>
      <c r="AU135" s="72">
        <f t="shared" si="74"/>
        <v>380388.28918937233</v>
      </c>
      <c r="AV135" s="72"/>
      <c r="AW135" s="72"/>
      <c r="AX135" s="73"/>
      <c r="AY135" s="74"/>
      <c r="AZ135" s="74"/>
      <c r="BA135" s="75"/>
      <c r="BB135" s="76">
        <f t="shared" si="54"/>
        <v>380388.28918937233</v>
      </c>
      <c r="BC135" s="76">
        <f t="shared" si="75"/>
        <v>434729.47335928265</v>
      </c>
      <c r="BD135" s="77"/>
      <c r="BE135" s="77"/>
      <c r="BF135" s="77"/>
      <c r="BG135" s="78">
        <f t="shared" si="76"/>
        <v>507184.38558582985</v>
      </c>
      <c r="BH135" s="78"/>
      <c r="BI135" s="78">
        <f t="shared" si="41"/>
        <v>-5.2694183978019282E-5</v>
      </c>
      <c r="BJ135" s="79">
        <f t="shared" si="42"/>
        <v>786135.79765803623</v>
      </c>
      <c r="BK135" s="79">
        <v>786135.8</v>
      </c>
      <c r="BL135" s="79">
        <v>3000000</v>
      </c>
      <c r="BM135" s="190" t="s">
        <v>246</v>
      </c>
      <c r="BN135" s="56" t="s">
        <v>76</v>
      </c>
    </row>
    <row r="136" spans="1:67" s="112" customFormat="1" ht="25.5">
      <c r="A136" s="84">
        <f t="shared" si="57"/>
        <v>104</v>
      </c>
      <c r="B136" s="85" t="s">
        <v>244</v>
      </c>
      <c r="C136" s="86" t="s">
        <v>247</v>
      </c>
      <c r="D136" s="85" t="s">
        <v>64</v>
      </c>
      <c r="E136" s="87" t="s">
        <v>65</v>
      </c>
      <c r="F136" s="89"/>
      <c r="G136" s="89"/>
      <c r="H136" s="90">
        <v>43739</v>
      </c>
      <c r="I136" s="90">
        <v>43739</v>
      </c>
      <c r="J136" s="91">
        <v>1000000</v>
      </c>
      <c r="K136" s="92">
        <v>7.7499999999999999E-2</v>
      </c>
      <c r="L136" s="63">
        <v>7.4999999999999997E-2</v>
      </c>
      <c r="M136" s="93">
        <v>0.9</v>
      </c>
      <c r="N136" s="94">
        <v>2</v>
      </c>
      <c r="O136" s="94"/>
      <c r="P136" s="93">
        <v>12</v>
      </c>
      <c r="Q136" s="95">
        <f t="shared" si="71"/>
        <v>11625</v>
      </c>
      <c r="R136" s="94">
        <f t="shared" si="55"/>
        <v>606656.06589831901</v>
      </c>
      <c r="S136" s="95">
        <f t="shared" si="72"/>
        <v>7052.3767660679587</v>
      </c>
      <c r="T136" s="95">
        <f t="shared" si="56"/>
        <v>4572.6232339320413</v>
      </c>
      <c r="U136" s="96">
        <v>0.606656065898319</v>
      </c>
      <c r="V136" s="94"/>
      <c r="W136" s="97"/>
      <c r="X136" s="95">
        <f t="shared" si="51"/>
        <v>606656.06589831901</v>
      </c>
      <c r="Y136" s="95">
        <f t="shared" si="51"/>
        <v>7052.3767660679587</v>
      </c>
      <c r="Z136" s="98">
        <f t="shared" si="52"/>
        <v>606656.06589831901</v>
      </c>
      <c r="AA136" s="98">
        <f t="shared" si="52"/>
        <v>7052.3767660679587</v>
      </c>
      <c r="AB136" s="115">
        <v>7052.38</v>
      </c>
      <c r="AC136" s="115"/>
      <c r="AD136" s="98">
        <f t="shared" si="58"/>
        <v>-3.2339320414394024E-3</v>
      </c>
      <c r="AE136" s="100">
        <v>0</v>
      </c>
      <c r="AF136" s="100">
        <f t="shared" si="73"/>
        <v>-6.1819489442091327E-2</v>
      </c>
      <c r="AG136" s="100"/>
      <c r="AH136" s="101"/>
      <c r="AI136" s="101"/>
      <c r="AJ136" s="101"/>
      <c r="AK136" s="101"/>
      <c r="AL136" s="101"/>
      <c r="AM136" s="104">
        <f t="shared" si="53"/>
        <v>-3.2339320414394024E-3</v>
      </c>
      <c r="AN136" s="104"/>
      <c r="AO136" s="104"/>
      <c r="AP136" s="104"/>
      <c r="AQ136" s="104">
        <f t="shared" si="50"/>
        <v>-3.2339320414394024E-3</v>
      </c>
      <c r="AR136" s="104"/>
      <c r="AS136" s="104">
        <f t="shared" si="39"/>
        <v>-3.2339320414394024E-3</v>
      </c>
      <c r="AT136" s="104">
        <f t="shared" si="40"/>
        <v>0</v>
      </c>
      <c r="AU136" s="105">
        <f t="shared" si="74"/>
        <v>-6.9546925622352734E-2</v>
      </c>
      <c r="AV136" s="106"/>
      <c r="AW136" s="106"/>
      <c r="AX136" s="107"/>
      <c r="AY136" s="107"/>
      <c r="AZ136" s="107"/>
      <c r="BA136" s="107"/>
      <c r="BB136" s="108">
        <f t="shared" si="54"/>
        <v>-6.9546925622352734E-2</v>
      </c>
      <c r="BC136" s="108">
        <f t="shared" si="75"/>
        <v>-7.9482200711260276E-2</v>
      </c>
      <c r="BD136" s="109"/>
      <c r="BE136" s="109"/>
      <c r="BF136" s="109"/>
      <c r="BG136" s="110">
        <f t="shared" si="76"/>
        <v>-9.2729234163136984E-2</v>
      </c>
      <c r="BH136" s="110"/>
      <c r="BI136" s="110">
        <f t="shared" si="41"/>
        <v>-3.2339320414394024E-3</v>
      </c>
      <c r="BJ136" s="116">
        <f t="shared" si="42"/>
        <v>-0.14373031295286234</v>
      </c>
      <c r="BK136" s="116"/>
      <c r="BL136" s="79"/>
      <c r="BM136" s="111"/>
    </row>
    <row r="137" spans="1:67" s="112" customFormat="1" ht="25.5">
      <c r="A137" s="84">
        <f t="shared" si="57"/>
        <v>105</v>
      </c>
      <c r="B137" s="85" t="s">
        <v>248</v>
      </c>
      <c r="C137" s="86" t="s">
        <v>249</v>
      </c>
      <c r="D137" s="85" t="s">
        <v>64</v>
      </c>
      <c r="E137" s="87" t="s">
        <v>65</v>
      </c>
      <c r="F137" s="89"/>
      <c r="G137" s="89"/>
      <c r="H137" s="90">
        <v>43525</v>
      </c>
      <c r="I137" s="90">
        <v>43525</v>
      </c>
      <c r="J137" s="91">
        <v>1500000</v>
      </c>
      <c r="K137" s="92">
        <v>7.7499999999999999E-2</v>
      </c>
      <c r="L137" s="63">
        <v>7.4999999999999997E-2</v>
      </c>
      <c r="M137" s="93">
        <v>0.9</v>
      </c>
      <c r="N137" s="94">
        <v>9</v>
      </c>
      <c r="O137" s="94"/>
      <c r="P137" s="93">
        <v>12</v>
      </c>
      <c r="Q137" s="95">
        <f t="shared" si="71"/>
        <v>78468.75</v>
      </c>
      <c r="R137" s="94">
        <f t="shared" si="55"/>
        <v>909984.09884747851</v>
      </c>
      <c r="S137" s="95">
        <f t="shared" si="72"/>
        <v>47603.543170958721</v>
      </c>
      <c r="T137" s="95">
        <f t="shared" si="56"/>
        <v>30865.206829041279</v>
      </c>
      <c r="U137" s="96">
        <v>0.606656065898319</v>
      </c>
      <c r="V137" s="254">
        <v>1200000</v>
      </c>
      <c r="W137" s="122">
        <f>69750-W138</f>
        <v>47603.54</v>
      </c>
      <c r="X137" s="95">
        <f t="shared" si="51"/>
        <v>-290015.90115252149</v>
      </c>
      <c r="Y137" s="95">
        <f t="shared" si="51"/>
        <v>3.1709587201476097E-3</v>
      </c>
      <c r="Z137" s="98">
        <f t="shared" si="52"/>
        <v>-290015.90115252149</v>
      </c>
      <c r="AA137" s="98">
        <f t="shared" si="52"/>
        <v>3.1709587201476097E-3</v>
      </c>
      <c r="AB137" s="98"/>
      <c r="AC137" s="98"/>
      <c r="AD137" s="98">
        <f t="shared" si="58"/>
        <v>3.1709587201476097E-3</v>
      </c>
      <c r="AE137" s="100">
        <v>73977.738386469893</v>
      </c>
      <c r="AF137" s="100">
        <f t="shared" si="73"/>
        <v>6.0615698354076167E-2</v>
      </c>
      <c r="AG137" s="100"/>
      <c r="AH137" s="101"/>
      <c r="AI137" s="101"/>
      <c r="AJ137" s="101"/>
      <c r="AK137" s="101"/>
      <c r="AL137" s="101"/>
      <c r="AM137" s="104">
        <f t="shared" si="53"/>
        <v>3.1709587201476097E-3</v>
      </c>
      <c r="AN137" s="104"/>
      <c r="AO137" s="104"/>
      <c r="AP137" s="104"/>
      <c r="AQ137" s="104">
        <f t="shared" si="50"/>
        <v>3.1709587201476097E-3</v>
      </c>
      <c r="AR137" s="104"/>
      <c r="AS137" s="104">
        <f t="shared" ref="AS137:AS201" si="77">AQ137-AR137</f>
        <v>3.1709587201476097E-3</v>
      </c>
      <c r="AT137" s="104">
        <f t="shared" ref="AT137:AT201" si="78">BK137*L137*M137*4/P137</f>
        <v>0</v>
      </c>
      <c r="AU137" s="181">
        <f t="shared" si="74"/>
        <v>6.8192660648335679E-2</v>
      </c>
      <c r="AV137" s="106"/>
      <c r="AW137" s="106"/>
      <c r="AX137" s="107"/>
      <c r="AY137" s="107"/>
      <c r="AZ137" s="107"/>
      <c r="BA137" s="107"/>
      <c r="BB137" s="108">
        <f t="shared" si="54"/>
        <v>6.8192660648335679E-2</v>
      </c>
      <c r="BC137" s="108">
        <f t="shared" si="75"/>
        <v>7.7934469312383639E-2</v>
      </c>
      <c r="BD137" s="109"/>
      <c r="BE137" s="109"/>
      <c r="BF137" s="109"/>
      <c r="BG137" s="110">
        <f t="shared" si="76"/>
        <v>9.0923547531114243E-2</v>
      </c>
      <c r="BH137" s="110"/>
      <c r="BI137" s="110">
        <f t="shared" ref="BI137:BI201" si="79">AS137-AT137</f>
        <v>3.1709587201476097E-3</v>
      </c>
      <c r="BJ137" s="116">
        <f t="shared" ref="BJ137:BJ201" si="80">AS137/L137/M137/4*P137</f>
        <v>0.1409314986732271</v>
      </c>
      <c r="BK137" s="116"/>
      <c r="BL137" s="79"/>
      <c r="BM137" s="111"/>
    </row>
    <row r="138" spans="1:67" s="81" customFormat="1" ht="25.5">
      <c r="A138" s="56">
        <f t="shared" si="57"/>
        <v>106</v>
      </c>
      <c r="B138" s="57" t="s">
        <v>248</v>
      </c>
      <c r="C138" s="58" t="s">
        <v>249</v>
      </c>
      <c r="D138" s="57" t="s">
        <v>64</v>
      </c>
      <c r="E138" s="57" t="s">
        <v>65</v>
      </c>
      <c r="F138" s="57"/>
      <c r="G138" s="57"/>
      <c r="H138" s="60">
        <v>43647</v>
      </c>
      <c r="I138" s="60">
        <v>43647</v>
      </c>
      <c r="J138" s="62">
        <v>1500000</v>
      </c>
      <c r="K138" s="63">
        <v>7.7499999999999999E-2</v>
      </c>
      <c r="L138" s="63">
        <v>7.4999999999999997E-2</v>
      </c>
      <c r="M138" s="64">
        <v>0.9</v>
      </c>
      <c r="N138" s="65">
        <v>5</v>
      </c>
      <c r="O138" s="65">
        <v>4</v>
      </c>
      <c r="P138" s="64">
        <v>12</v>
      </c>
      <c r="Q138" s="65">
        <f t="shared" si="71"/>
        <v>43593.75</v>
      </c>
      <c r="R138" s="65">
        <f t="shared" si="55"/>
        <v>909984.09884747851</v>
      </c>
      <c r="S138" s="65">
        <f t="shared" si="72"/>
        <v>26446.412872754841</v>
      </c>
      <c r="T138" s="65">
        <f t="shared" si="56"/>
        <v>17147.337127245159</v>
      </c>
      <c r="U138" s="66">
        <v>0.606656065898319</v>
      </c>
      <c r="V138" s="65"/>
      <c r="W138" s="64">
        <v>22146.46</v>
      </c>
      <c r="X138" s="65">
        <f t="shared" si="51"/>
        <v>909984.09884747851</v>
      </c>
      <c r="Y138" s="65">
        <f t="shared" si="51"/>
        <v>4299.9528727548422</v>
      </c>
      <c r="Z138" s="67">
        <f t="shared" si="52"/>
        <v>909984.09884747851</v>
      </c>
      <c r="AA138" s="67">
        <f t="shared" si="52"/>
        <v>4299.9528727548422</v>
      </c>
      <c r="AB138" s="114"/>
      <c r="AC138" s="114"/>
      <c r="AD138" s="67">
        <f t="shared" si="58"/>
        <v>4299.9528727548422</v>
      </c>
      <c r="AE138" s="68">
        <v>0</v>
      </c>
      <c r="AF138" s="68">
        <f t="shared" si="73"/>
        <v>82197.42648037929</v>
      </c>
      <c r="AG138" s="68"/>
      <c r="AH138" s="69"/>
      <c r="AI138" s="69"/>
      <c r="AJ138" s="70"/>
      <c r="AK138" s="70"/>
      <c r="AL138" s="71"/>
      <c r="AM138" s="69">
        <f t="shared" si="53"/>
        <v>4299.9528727548422</v>
      </c>
      <c r="AN138" s="69"/>
      <c r="AO138" s="69"/>
      <c r="AP138" s="69"/>
      <c r="AQ138" s="69">
        <f t="shared" si="50"/>
        <v>4299.9528727548422</v>
      </c>
      <c r="AR138" s="69"/>
      <c r="AS138" s="69">
        <f t="shared" si="77"/>
        <v>4299.9528727548422</v>
      </c>
      <c r="AT138" s="69">
        <f t="shared" si="78"/>
        <v>4299.9529499999999</v>
      </c>
      <c r="AU138" s="72">
        <f t="shared" si="74"/>
        <v>92472.104790426703</v>
      </c>
      <c r="AV138" s="72"/>
      <c r="AW138" s="72"/>
      <c r="AX138" s="73"/>
      <c r="AY138" s="74"/>
      <c r="AZ138" s="74"/>
      <c r="BA138" s="75"/>
      <c r="BB138" s="76">
        <f t="shared" si="54"/>
        <v>92472.104790426703</v>
      </c>
      <c r="BC138" s="76">
        <f t="shared" si="75"/>
        <v>105682.40547477338</v>
      </c>
      <c r="BD138" s="77"/>
      <c r="BE138" s="77"/>
      <c r="BF138" s="77"/>
      <c r="BG138" s="78">
        <f t="shared" si="76"/>
        <v>123296.13972056893</v>
      </c>
      <c r="BH138" s="78"/>
      <c r="BI138" s="78">
        <f t="shared" si="79"/>
        <v>-7.7245157626748551E-5</v>
      </c>
      <c r="BJ138" s="79">
        <f t="shared" si="80"/>
        <v>191109.01656688188</v>
      </c>
      <c r="BK138" s="79">
        <v>191109.02</v>
      </c>
      <c r="BL138" s="79">
        <v>1500000</v>
      </c>
      <c r="BM138" s="80"/>
      <c r="BN138" s="81" t="s">
        <v>64</v>
      </c>
    </row>
    <row r="139" spans="1:67" s="81" customFormat="1" ht="38.25">
      <c r="A139" s="56">
        <f t="shared" si="57"/>
        <v>107</v>
      </c>
      <c r="B139" s="57" t="s">
        <v>471</v>
      </c>
      <c r="C139" s="58" t="s">
        <v>250</v>
      </c>
      <c r="D139" s="57" t="s">
        <v>111</v>
      </c>
      <c r="E139" s="57" t="s">
        <v>65</v>
      </c>
      <c r="F139" s="57"/>
      <c r="G139" s="57"/>
      <c r="H139" s="60">
        <v>43497</v>
      </c>
      <c r="I139" s="61" t="s">
        <v>102</v>
      </c>
      <c r="J139" s="62">
        <v>2000000</v>
      </c>
      <c r="K139" s="63">
        <v>7.7499999999999999E-2</v>
      </c>
      <c r="L139" s="63">
        <v>7.4999999999999997E-2</v>
      </c>
      <c r="M139" s="64">
        <v>0.9</v>
      </c>
      <c r="N139" s="65">
        <v>10</v>
      </c>
      <c r="O139" s="65">
        <v>4</v>
      </c>
      <c r="P139" s="64">
        <v>12</v>
      </c>
      <c r="Q139" s="65">
        <f t="shared" si="71"/>
        <v>116250</v>
      </c>
      <c r="R139" s="65">
        <f t="shared" si="55"/>
        <v>1213312.131796638</v>
      </c>
      <c r="S139" s="65">
        <f t="shared" si="72"/>
        <v>70523.767660679587</v>
      </c>
      <c r="T139" s="65">
        <f t="shared" si="56"/>
        <v>45726.232339320413</v>
      </c>
      <c r="U139" s="66">
        <v>0.606656065898319</v>
      </c>
      <c r="V139" s="65"/>
      <c r="W139" s="64"/>
      <c r="X139" s="65">
        <f t="shared" si="51"/>
        <v>1213312.131796638</v>
      </c>
      <c r="Y139" s="65">
        <f t="shared" si="51"/>
        <v>70523.767660679587</v>
      </c>
      <c r="Z139" s="67">
        <f t="shared" si="52"/>
        <v>1213312.131796638</v>
      </c>
      <c r="AA139" s="67">
        <f t="shared" si="52"/>
        <v>70523.767660679587</v>
      </c>
      <c r="AB139" s="67"/>
      <c r="AC139" s="67"/>
      <c r="AD139" s="67">
        <f t="shared" si="58"/>
        <v>70523.767660679587</v>
      </c>
      <c r="AE139" s="68">
        <v>1213312.131796638</v>
      </c>
      <c r="AF139" s="68">
        <f t="shared" si="73"/>
        <v>1348124.5908851533</v>
      </c>
      <c r="AG139" s="68"/>
      <c r="AH139" s="69"/>
      <c r="AI139" s="69"/>
      <c r="AJ139" s="70"/>
      <c r="AK139" s="70"/>
      <c r="AL139" s="71"/>
      <c r="AM139" s="69">
        <f t="shared" si="53"/>
        <v>70523.767660679587</v>
      </c>
      <c r="AN139" s="69"/>
      <c r="AO139" s="69"/>
      <c r="AP139" s="69"/>
      <c r="AQ139" s="69">
        <f t="shared" si="50"/>
        <v>70523.767660679587</v>
      </c>
      <c r="AR139" s="69"/>
      <c r="AS139" s="69">
        <f t="shared" si="77"/>
        <v>70523.767660679587</v>
      </c>
      <c r="AT139" s="69">
        <f t="shared" si="78"/>
        <v>45000</v>
      </c>
      <c r="AU139" s="72">
        <f t="shared" si="74"/>
        <v>1516640.1647457974</v>
      </c>
      <c r="AV139" s="72"/>
      <c r="AW139" s="72"/>
      <c r="AX139" s="73"/>
      <c r="AY139" s="74"/>
      <c r="AZ139" s="74"/>
      <c r="BA139" s="75"/>
      <c r="BB139" s="76">
        <f t="shared" si="54"/>
        <v>1516640.1647457974</v>
      </c>
      <c r="BC139" s="76">
        <f t="shared" si="75"/>
        <v>1733303.0454237687</v>
      </c>
      <c r="BD139" s="77"/>
      <c r="BE139" s="77"/>
      <c r="BF139" s="77"/>
      <c r="BG139" s="78">
        <f t="shared" si="76"/>
        <v>2022186.88632773</v>
      </c>
      <c r="BH139" s="78"/>
      <c r="BI139" s="78">
        <f t="shared" si="79"/>
        <v>25523.767660679587</v>
      </c>
      <c r="BJ139" s="79">
        <f t="shared" si="80"/>
        <v>3134389.6738079814</v>
      </c>
      <c r="BK139" s="79">
        <v>2000000</v>
      </c>
      <c r="BL139" s="79">
        <v>2000000</v>
      </c>
      <c r="BM139" s="80"/>
      <c r="BN139" s="127" t="s">
        <v>111</v>
      </c>
    </row>
    <row r="140" spans="1:67" s="81" customFormat="1" ht="25.5">
      <c r="A140" s="56">
        <f t="shared" si="57"/>
        <v>108</v>
      </c>
      <c r="B140" s="57" t="s">
        <v>251</v>
      </c>
      <c r="C140" s="58" t="s">
        <v>252</v>
      </c>
      <c r="D140" s="57" t="s">
        <v>111</v>
      </c>
      <c r="E140" s="57" t="s">
        <v>65</v>
      </c>
      <c r="F140" s="57"/>
      <c r="G140" s="57"/>
      <c r="H140" s="60">
        <v>43497</v>
      </c>
      <c r="I140" s="61" t="s">
        <v>102</v>
      </c>
      <c r="J140" s="62">
        <v>5000000</v>
      </c>
      <c r="K140" s="63">
        <v>7.7499999999999999E-2</v>
      </c>
      <c r="L140" s="63">
        <v>7.4999999999999997E-2</v>
      </c>
      <c r="M140" s="64">
        <v>0.9</v>
      </c>
      <c r="N140" s="65">
        <v>10</v>
      </c>
      <c r="O140" s="65">
        <v>4</v>
      </c>
      <c r="P140" s="64">
        <v>12</v>
      </c>
      <c r="Q140" s="65">
        <f t="shared" si="71"/>
        <v>290625</v>
      </c>
      <c r="R140" s="65">
        <f t="shared" si="55"/>
        <v>3033280.3294915948</v>
      </c>
      <c r="S140" s="65">
        <f t="shared" si="72"/>
        <v>176309.41915169894</v>
      </c>
      <c r="T140" s="65">
        <f t="shared" si="56"/>
        <v>114315.58084830106</v>
      </c>
      <c r="U140" s="66">
        <v>0.606656065898319</v>
      </c>
      <c r="V140" s="65"/>
      <c r="W140" s="64"/>
      <c r="X140" s="65">
        <f t="shared" si="51"/>
        <v>3033280.3294915948</v>
      </c>
      <c r="Y140" s="65">
        <f t="shared" si="51"/>
        <v>176309.41915169894</v>
      </c>
      <c r="Z140" s="67">
        <f t="shared" si="52"/>
        <v>3033280.3294915948</v>
      </c>
      <c r="AA140" s="67">
        <f t="shared" si="52"/>
        <v>176309.41915169894</v>
      </c>
      <c r="AB140" s="67"/>
      <c r="AC140" s="67"/>
      <c r="AD140" s="67">
        <f t="shared" si="58"/>
        <v>176309.41915169894</v>
      </c>
      <c r="AE140" s="68">
        <v>3033280.3294915948</v>
      </c>
      <c r="AF140" s="68">
        <f t="shared" si="73"/>
        <v>3370311.4772128826</v>
      </c>
      <c r="AG140" s="68"/>
      <c r="AH140" s="69"/>
      <c r="AI140" s="69"/>
      <c r="AJ140" s="70"/>
      <c r="AK140" s="70"/>
      <c r="AL140" s="71"/>
      <c r="AM140" s="69">
        <f t="shared" si="53"/>
        <v>176309.41915169894</v>
      </c>
      <c r="AN140" s="69"/>
      <c r="AO140" s="69"/>
      <c r="AP140" s="69"/>
      <c r="AQ140" s="69">
        <f t="shared" si="50"/>
        <v>176309.41915169894</v>
      </c>
      <c r="AR140" s="69"/>
      <c r="AS140" s="69">
        <f t="shared" si="77"/>
        <v>176309.41915169894</v>
      </c>
      <c r="AT140" s="69">
        <f t="shared" si="78"/>
        <v>112500</v>
      </c>
      <c r="AU140" s="72">
        <f t="shared" si="74"/>
        <v>3791600.411864493</v>
      </c>
      <c r="AV140" s="72"/>
      <c r="AW140" s="72"/>
      <c r="AX140" s="73"/>
      <c r="AY140" s="74"/>
      <c r="AZ140" s="74"/>
      <c r="BA140" s="75"/>
      <c r="BB140" s="76">
        <f t="shared" si="54"/>
        <v>3791600.411864493</v>
      </c>
      <c r="BC140" s="76">
        <f t="shared" si="75"/>
        <v>4333257.6135594212</v>
      </c>
      <c r="BD140" s="77"/>
      <c r="BE140" s="77"/>
      <c r="BF140" s="77"/>
      <c r="BG140" s="78">
        <f t="shared" si="76"/>
        <v>5055467.2158193244</v>
      </c>
      <c r="BH140" s="78"/>
      <c r="BI140" s="78">
        <f t="shared" si="79"/>
        <v>63809.419151698938</v>
      </c>
      <c r="BJ140" s="79">
        <f t="shared" si="80"/>
        <v>7835974.1845199531</v>
      </c>
      <c r="BK140" s="79">
        <v>5000000</v>
      </c>
      <c r="BL140" s="79">
        <v>5000000</v>
      </c>
      <c r="BM140" s="80"/>
      <c r="BN140" s="127" t="s">
        <v>111</v>
      </c>
    </row>
    <row r="141" spans="1:67" s="112" customFormat="1" ht="25.5">
      <c r="A141" s="84">
        <f t="shared" si="57"/>
        <v>109</v>
      </c>
      <c r="B141" s="85" t="s">
        <v>253</v>
      </c>
      <c r="C141" s="86" t="s">
        <v>254</v>
      </c>
      <c r="D141" s="85" t="s">
        <v>64</v>
      </c>
      <c r="E141" s="87" t="s">
        <v>98</v>
      </c>
      <c r="F141" s="89"/>
      <c r="G141" s="89"/>
      <c r="H141" s="90">
        <v>43497</v>
      </c>
      <c r="I141" s="90">
        <v>43497</v>
      </c>
      <c r="J141" s="91">
        <v>10000000</v>
      </c>
      <c r="K141" s="92">
        <v>7.7499999999999999E-2</v>
      </c>
      <c r="L141" s="63">
        <v>7.4999999999999997E-2</v>
      </c>
      <c r="M141" s="93">
        <v>0.9</v>
      </c>
      <c r="N141" s="94">
        <v>10</v>
      </c>
      <c r="O141" s="94"/>
      <c r="P141" s="93">
        <v>12</v>
      </c>
      <c r="Q141" s="95">
        <f t="shared" si="71"/>
        <v>581250</v>
      </c>
      <c r="R141" s="94">
        <f t="shared" si="55"/>
        <v>6066560.6589831896</v>
      </c>
      <c r="S141" s="95">
        <f t="shared" si="72"/>
        <v>352618.83830339788</v>
      </c>
      <c r="T141" s="95">
        <f t="shared" si="56"/>
        <v>228631.16169660212</v>
      </c>
      <c r="U141" s="96">
        <v>0.606656065898319</v>
      </c>
      <c r="V141" s="94"/>
      <c r="W141" s="97"/>
      <c r="X141" s="95">
        <f t="shared" si="51"/>
        <v>6066560.6589831896</v>
      </c>
      <c r="Y141" s="95">
        <f t="shared" si="51"/>
        <v>352618.83830339788</v>
      </c>
      <c r="Z141" s="98">
        <f t="shared" si="52"/>
        <v>6066560.6589831896</v>
      </c>
      <c r="AA141" s="98">
        <f t="shared" si="52"/>
        <v>352618.83830339788</v>
      </c>
      <c r="AB141" s="98">
        <f>493655.63-AB142-AB143</f>
        <v>352608.08999999997</v>
      </c>
      <c r="AC141" s="98"/>
      <c r="AD141" s="98">
        <f t="shared" si="58"/>
        <v>10.748303397907875</v>
      </c>
      <c r="AE141" s="100">
        <v>184.92257646657526</v>
      </c>
      <c r="AF141" s="100">
        <f t="shared" si="73"/>
        <v>205.46338633993548</v>
      </c>
      <c r="AG141" s="100"/>
      <c r="AH141" s="101"/>
      <c r="AI141" s="101"/>
      <c r="AJ141" s="101"/>
      <c r="AK141" s="101"/>
      <c r="AL141" s="101"/>
      <c r="AM141" s="104">
        <f t="shared" si="53"/>
        <v>10.748303397907875</v>
      </c>
      <c r="AN141" s="104"/>
      <c r="AO141" s="104"/>
      <c r="AP141" s="104"/>
      <c r="AQ141" s="104">
        <f t="shared" si="50"/>
        <v>10.748303397907875</v>
      </c>
      <c r="AR141" s="104"/>
      <c r="AS141" s="104">
        <f t="shared" si="77"/>
        <v>10.748303397907875</v>
      </c>
      <c r="AT141" s="104">
        <f t="shared" si="78"/>
        <v>0</v>
      </c>
      <c r="AU141" s="181">
        <f t="shared" si="74"/>
        <v>231.1463096324274</v>
      </c>
      <c r="AV141" s="106"/>
      <c r="AW141" s="106"/>
      <c r="AX141" s="107"/>
      <c r="AY141" s="107"/>
      <c r="AZ141" s="107"/>
      <c r="BA141" s="107"/>
      <c r="BB141" s="108">
        <f t="shared" si="54"/>
        <v>231.1463096324274</v>
      </c>
      <c r="BC141" s="108">
        <f t="shared" si="75"/>
        <v>264.16721100848849</v>
      </c>
      <c r="BD141" s="109"/>
      <c r="BE141" s="109"/>
      <c r="BF141" s="109"/>
      <c r="BG141" s="110">
        <f t="shared" si="76"/>
        <v>308.19507950990322</v>
      </c>
      <c r="BH141" s="110"/>
      <c r="BI141" s="110">
        <f t="shared" si="79"/>
        <v>10.748303397907875</v>
      </c>
      <c r="BJ141" s="116">
        <f t="shared" si="80"/>
        <v>477.70237324035008</v>
      </c>
      <c r="BK141" s="116"/>
      <c r="BL141" s="79"/>
      <c r="BM141" s="111"/>
    </row>
    <row r="142" spans="1:67" s="112" customFormat="1" ht="25.5">
      <c r="A142" s="84">
        <f t="shared" si="57"/>
        <v>110</v>
      </c>
      <c r="B142" s="85" t="s">
        <v>253</v>
      </c>
      <c r="C142" s="86" t="s">
        <v>254</v>
      </c>
      <c r="D142" s="85" t="s">
        <v>64</v>
      </c>
      <c r="E142" s="87" t="s">
        <v>98</v>
      </c>
      <c r="F142" s="89"/>
      <c r="G142" s="89"/>
      <c r="H142" s="90">
        <v>43739</v>
      </c>
      <c r="I142" s="90">
        <v>43739</v>
      </c>
      <c r="J142" s="91">
        <v>10000000</v>
      </c>
      <c r="K142" s="92">
        <v>7.7499999999999999E-2</v>
      </c>
      <c r="L142" s="63">
        <v>7.4999999999999997E-2</v>
      </c>
      <c r="M142" s="93">
        <v>0.9</v>
      </c>
      <c r="N142" s="94">
        <v>2</v>
      </c>
      <c r="O142" s="94"/>
      <c r="P142" s="93">
        <v>12</v>
      </c>
      <c r="Q142" s="95">
        <f t="shared" si="71"/>
        <v>116250</v>
      </c>
      <c r="R142" s="94">
        <f t="shared" si="55"/>
        <v>6066560.6589831896</v>
      </c>
      <c r="S142" s="95">
        <f t="shared" si="72"/>
        <v>70523.767660679572</v>
      </c>
      <c r="T142" s="95">
        <f t="shared" si="56"/>
        <v>45726.232339320428</v>
      </c>
      <c r="U142" s="96">
        <v>0.606656065898319</v>
      </c>
      <c r="V142" s="94"/>
      <c r="W142" s="97"/>
      <c r="X142" s="95">
        <f t="shared" si="51"/>
        <v>6066560.6589831896</v>
      </c>
      <c r="Y142" s="95">
        <f t="shared" si="51"/>
        <v>70523.767660679572</v>
      </c>
      <c r="Z142" s="98">
        <f t="shared" si="52"/>
        <v>6066560.6589831896</v>
      </c>
      <c r="AA142" s="98">
        <f t="shared" si="52"/>
        <v>70523.767660679572</v>
      </c>
      <c r="AB142" s="115">
        <v>70523.77</v>
      </c>
      <c r="AC142" s="115"/>
      <c r="AD142" s="98">
        <f t="shared" si="58"/>
        <v>-2.3393204319290817E-3</v>
      </c>
      <c r="AE142" s="100">
        <v>0</v>
      </c>
      <c r="AF142" s="100">
        <f t="shared" si="73"/>
        <v>-4.4718192247150901E-2</v>
      </c>
      <c r="AG142" s="100"/>
      <c r="AH142" s="101"/>
      <c r="AI142" s="101"/>
      <c r="AJ142" s="101"/>
      <c r="AK142" s="101"/>
      <c r="AL142" s="101"/>
      <c r="AM142" s="104">
        <f t="shared" si="53"/>
        <v>-2.3393204319290817E-3</v>
      </c>
      <c r="AN142" s="104"/>
      <c r="AO142" s="104"/>
      <c r="AP142" s="104"/>
      <c r="AQ142" s="104">
        <f t="shared" si="50"/>
        <v>-2.3393204319290817E-3</v>
      </c>
      <c r="AR142" s="104"/>
      <c r="AS142" s="104">
        <f t="shared" si="77"/>
        <v>-2.3393204319290817E-3</v>
      </c>
      <c r="AT142" s="104">
        <f t="shared" si="78"/>
        <v>0</v>
      </c>
      <c r="AU142" s="105">
        <f t="shared" si="74"/>
        <v>-5.0307966278044763E-2</v>
      </c>
      <c r="AV142" s="106"/>
      <c r="AW142" s="106"/>
      <c r="AX142" s="107"/>
      <c r="AY142" s="107"/>
      <c r="AZ142" s="107"/>
      <c r="BA142" s="107"/>
      <c r="BB142" s="108">
        <f t="shared" si="54"/>
        <v>-5.0307966278044763E-2</v>
      </c>
      <c r="BC142" s="108">
        <f t="shared" si="75"/>
        <v>-5.7494818603479728E-2</v>
      </c>
      <c r="BD142" s="109"/>
      <c r="BE142" s="109"/>
      <c r="BF142" s="109"/>
      <c r="BG142" s="110">
        <f t="shared" si="76"/>
        <v>-6.7077288370726351E-2</v>
      </c>
      <c r="BH142" s="110"/>
      <c r="BI142" s="110">
        <f t="shared" si="79"/>
        <v>-2.3393204319290817E-3</v>
      </c>
      <c r="BJ142" s="116">
        <f t="shared" si="80"/>
        <v>-0.10396979697462586</v>
      </c>
      <c r="BK142" s="116"/>
      <c r="BL142" s="79"/>
      <c r="BM142" s="111"/>
    </row>
    <row r="143" spans="1:67" s="112" customFormat="1" ht="25.5">
      <c r="A143" s="84">
        <f t="shared" si="57"/>
        <v>111</v>
      </c>
      <c r="B143" s="85" t="s">
        <v>253</v>
      </c>
      <c r="C143" s="86" t="s">
        <v>254</v>
      </c>
      <c r="D143" s="85" t="s">
        <v>120</v>
      </c>
      <c r="E143" s="87" t="s">
        <v>98</v>
      </c>
      <c r="F143" s="89"/>
      <c r="G143" s="89"/>
      <c r="H143" s="90">
        <v>43739</v>
      </c>
      <c r="I143" s="90">
        <v>43739</v>
      </c>
      <c r="J143" s="91">
        <v>10000000</v>
      </c>
      <c r="K143" s="92">
        <v>7.7499999999999999E-2</v>
      </c>
      <c r="L143" s="63">
        <v>7.4999999999999997E-2</v>
      </c>
      <c r="M143" s="93">
        <v>0.9</v>
      </c>
      <c r="N143" s="94">
        <v>2</v>
      </c>
      <c r="O143" s="94"/>
      <c r="P143" s="93">
        <v>12</v>
      </c>
      <c r="Q143" s="95">
        <f t="shared" si="71"/>
        <v>116250</v>
      </c>
      <c r="R143" s="94">
        <f t="shared" si="55"/>
        <v>6066560.6589831896</v>
      </c>
      <c r="S143" s="95">
        <f t="shared" si="72"/>
        <v>70523.767660679572</v>
      </c>
      <c r="T143" s="95">
        <f t="shared" si="56"/>
        <v>45726.232339320428</v>
      </c>
      <c r="U143" s="96">
        <v>0.606656065898319</v>
      </c>
      <c r="V143" s="94"/>
      <c r="W143" s="97"/>
      <c r="X143" s="95">
        <f t="shared" si="51"/>
        <v>6066560.6589831896</v>
      </c>
      <c r="Y143" s="95">
        <f t="shared" si="51"/>
        <v>70523.767660679572</v>
      </c>
      <c r="Z143" s="98">
        <f t="shared" si="52"/>
        <v>6066560.6589831896</v>
      </c>
      <c r="AA143" s="98">
        <f t="shared" si="52"/>
        <v>70523.767660679572</v>
      </c>
      <c r="AB143" s="304">
        <v>70523.77</v>
      </c>
      <c r="AC143" s="304"/>
      <c r="AD143" s="98">
        <f t="shared" si="58"/>
        <v>-2.3393204319290817E-3</v>
      </c>
      <c r="AE143" s="100">
        <v>0</v>
      </c>
      <c r="AF143" s="100">
        <f t="shared" si="73"/>
        <v>-4.4718192247150901E-2</v>
      </c>
      <c r="AG143" s="100"/>
      <c r="AH143" s="101"/>
      <c r="AI143" s="101"/>
      <c r="AJ143" s="101"/>
      <c r="AK143" s="101"/>
      <c r="AL143" s="101"/>
      <c r="AM143" s="104">
        <f t="shared" si="53"/>
        <v>-2.3393204319290817E-3</v>
      </c>
      <c r="AN143" s="104"/>
      <c r="AO143" s="104"/>
      <c r="AP143" s="104"/>
      <c r="AQ143" s="104">
        <f t="shared" si="50"/>
        <v>-2.3393204319290817E-3</v>
      </c>
      <c r="AR143" s="104"/>
      <c r="AS143" s="104">
        <f t="shared" si="77"/>
        <v>-2.3393204319290817E-3</v>
      </c>
      <c r="AT143" s="104">
        <f t="shared" si="78"/>
        <v>0</v>
      </c>
      <c r="AU143" s="105">
        <f t="shared" si="74"/>
        <v>-5.0307966278044763E-2</v>
      </c>
      <c r="AV143" s="106"/>
      <c r="AW143" s="106"/>
      <c r="AX143" s="107"/>
      <c r="AY143" s="107"/>
      <c r="AZ143" s="107"/>
      <c r="BA143" s="107"/>
      <c r="BB143" s="108">
        <f t="shared" si="54"/>
        <v>-5.0307966278044763E-2</v>
      </c>
      <c r="BC143" s="108">
        <f t="shared" si="75"/>
        <v>-5.7494818603479728E-2</v>
      </c>
      <c r="BD143" s="109"/>
      <c r="BE143" s="109"/>
      <c r="BF143" s="109"/>
      <c r="BG143" s="110">
        <f t="shared" si="76"/>
        <v>-6.7077288370726351E-2</v>
      </c>
      <c r="BH143" s="110"/>
      <c r="BI143" s="110">
        <f t="shared" si="79"/>
        <v>-2.3393204319290817E-3</v>
      </c>
      <c r="BJ143" s="116">
        <f t="shared" si="80"/>
        <v>-0.10396979697462586</v>
      </c>
      <c r="BK143" s="116"/>
      <c r="BL143" s="79"/>
      <c r="BM143" s="111"/>
    </row>
    <row r="144" spans="1:67" s="211" customFormat="1" ht="38.25" hidden="1">
      <c r="A144" s="194"/>
      <c r="B144" s="151" t="s">
        <v>253</v>
      </c>
      <c r="C144" s="152" t="s">
        <v>254</v>
      </c>
      <c r="D144" s="151"/>
      <c r="E144" s="117"/>
      <c r="F144" s="151"/>
      <c r="G144" s="151"/>
      <c r="H144" s="195"/>
      <c r="I144" s="195"/>
      <c r="J144" s="196"/>
      <c r="K144" s="197"/>
      <c r="L144" s="63">
        <v>7.4999999999999997E-2</v>
      </c>
      <c r="M144" s="64">
        <v>0.9</v>
      </c>
      <c r="N144" s="65">
        <v>10</v>
      </c>
      <c r="O144" s="65">
        <v>4</v>
      </c>
      <c r="P144" s="64">
        <v>12</v>
      </c>
      <c r="Q144" s="198"/>
      <c r="R144" s="198"/>
      <c r="S144" s="198"/>
      <c r="T144" s="198"/>
      <c r="U144" s="199"/>
      <c r="V144" s="198"/>
      <c r="W144" s="200"/>
      <c r="X144" s="198"/>
      <c r="Y144" s="198"/>
      <c r="Z144" s="201"/>
      <c r="AA144" s="201"/>
      <c r="AB144" s="305"/>
      <c r="AC144" s="305"/>
      <c r="AD144" s="201"/>
      <c r="AE144" s="202"/>
      <c r="AF144" s="202"/>
      <c r="AG144" s="202"/>
      <c r="AH144" s="203"/>
      <c r="AI144" s="203"/>
      <c r="AJ144" s="203"/>
      <c r="AK144" s="203"/>
      <c r="AL144" s="203"/>
      <c r="AM144" s="204"/>
      <c r="AN144" s="204"/>
      <c r="AO144" s="204"/>
      <c r="AP144" s="204"/>
      <c r="AQ144" s="204"/>
      <c r="AR144" s="204"/>
      <c r="AS144" s="69">
        <f t="shared" si="77"/>
        <v>0</v>
      </c>
      <c r="AT144" s="69">
        <f t="shared" si="78"/>
        <v>0</v>
      </c>
      <c r="AU144" s="306"/>
      <c r="AV144" s="206"/>
      <c r="AW144" s="206"/>
      <c r="AX144" s="207"/>
      <c r="AY144" s="207"/>
      <c r="AZ144" s="207"/>
      <c r="BA144" s="207"/>
      <c r="BB144" s="208"/>
      <c r="BC144" s="208"/>
      <c r="BD144" s="209"/>
      <c r="BE144" s="209"/>
      <c r="BF144" s="209"/>
      <c r="BG144" s="210"/>
      <c r="BH144" s="210"/>
      <c r="BI144" s="78">
        <f t="shared" si="79"/>
        <v>0</v>
      </c>
      <c r="BJ144" s="79">
        <f t="shared" si="80"/>
        <v>0</v>
      </c>
      <c r="BK144" s="79"/>
      <c r="BL144" s="143">
        <v>10000000</v>
      </c>
      <c r="BM144" s="144" t="s">
        <v>99</v>
      </c>
      <c r="BN144" s="255" t="s">
        <v>76</v>
      </c>
    </row>
    <row r="145" spans="1:66" s="404" customFormat="1" ht="25.5">
      <c r="A145" s="380">
        <f>A143+1</f>
        <v>112</v>
      </c>
      <c r="B145" s="381" t="s">
        <v>255</v>
      </c>
      <c r="C145" s="382" t="s">
        <v>256</v>
      </c>
      <c r="D145" s="381" t="s">
        <v>111</v>
      </c>
      <c r="E145" s="383" t="s">
        <v>65</v>
      </c>
      <c r="F145" s="381"/>
      <c r="G145" s="381"/>
      <c r="H145" s="384">
        <v>43525</v>
      </c>
      <c r="I145" s="384">
        <v>43525</v>
      </c>
      <c r="J145" s="385">
        <v>2000000</v>
      </c>
      <c r="K145" s="386">
        <v>7.7499999999999999E-2</v>
      </c>
      <c r="L145" s="387">
        <v>7.4999999999999997E-2</v>
      </c>
      <c r="M145" s="388">
        <v>0.9</v>
      </c>
      <c r="N145" s="389">
        <v>9</v>
      </c>
      <c r="O145" s="389"/>
      <c r="P145" s="388">
        <v>12</v>
      </c>
      <c r="Q145" s="389">
        <f t="shared" ref="Q145:Q151" si="81">J145*K145*M145*N145/P145</f>
        <v>104625</v>
      </c>
      <c r="R145" s="389">
        <f t="shared" si="55"/>
        <v>1213312.131796638</v>
      </c>
      <c r="S145" s="389">
        <f t="shared" ref="S145:S151" si="82">R145*K145*M145*N145/P145</f>
        <v>63471.390894611628</v>
      </c>
      <c r="T145" s="389">
        <f t="shared" si="56"/>
        <v>41153.609105388372</v>
      </c>
      <c r="U145" s="390">
        <v>0.606656065898319</v>
      </c>
      <c r="V145" s="389"/>
      <c r="W145" s="388"/>
      <c r="X145" s="389">
        <f t="shared" si="51"/>
        <v>1213312.131796638</v>
      </c>
      <c r="Y145" s="389">
        <f t="shared" si="51"/>
        <v>63471.390894611628</v>
      </c>
      <c r="Z145" s="391">
        <f t="shared" si="52"/>
        <v>1213312.131796638</v>
      </c>
      <c r="AA145" s="391">
        <f t="shared" si="52"/>
        <v>63471.390894611628</v>
      </c>
      <c r="AB145" s="392"/>
      <c r="AC145" s="392">
        <f>158227.4-AC146</f>
        <v>63471.39</v>
      </c>
      <c r="AD145" s="391">
        <f>AA145-AB145-AC145</f>
        <v>8.9461162860970944E-4</v>
      </c>
      <c r="AE145" s="393">
        <v>-1270047.703457565</v>
      </c>
      <c r="AF145" s="393">
        <f t="shared" ref="AF145:AF151" si="83">AD145/K145/M145/9*P145</f>
        <v>1.7101297560042233E-2</v>
      </c>
      <c r="AG145" s="393"/>
      <c r="AH145" s="394"/>
      <c r="AI145" s="394"/>
      <c r="AJ145" s="394"/>
      <c r="AK145" s="394"/>
      <c r="AL145" s="394"/>
      <c r="AM145" s="395">
        <f t="shared" si="53"/>
        <v>8.9461162860970944E-4</v>
      </c>
      <c r="AN145" s="395"/>
      <c r="AO145" s="395"/>
      <c r="AP145" s="395"/>
      <c r="AQ145" s="395">
        <f t="shared" si="50"/>
        <v>8.9461162860970944E-4</v>
      </c>
      <c r="AR145" s="395"/>
      <c r="AS145" s="395">
        <v>63471.39</v>
      </c>
      <c r="AT145" s="395">
        <f t="shared" si="78"/>
        <v>45000</v>
      </c>
      <c r="AU145" s="396">
        <f t="shared" ref="AU145:AU151" si="84">AD145/K145/M145/8*P145</f>
        <v>1.9238959755047514E-2</v>
      </c>
      <c r="AV145" s="397"/>
      <c r="AW145" s="397"/>
      <c r="AX145" s="398"/>
      <c r="AY145" s="398"/>
      <c r="AZ145" s="398"/>
      <c r="BA145" s="398"/>
      <c r="BB145" s="399">
        <f t="shared" si="54"/>
        <v>1.9238959755047514E-2</v>
      </c>
      <c r="BC145" s="399">
        <f t="shared" ref="BC145:BC151" si="85">AM145/K145/M145/7*P145</f>
        <v>2.1987382577197158E-2</v>
      </c>
      <c r="BD145" s="400"/>
      <c r="BE145" s="400"/>
      <c r="BF145" s="400"/>
      <c r="BG145" s="401">
        <f t="shared" ref="BG145:BG151" si="86">AQ145/K145/M145/6*P145</f>
        <v>2.5651946340063347E-2</v>
      </c>
      <c r="BH145" s="401"/>
      <c r="BI145" s="401">
        <f t="shared" si="79"/>
        <v>18471.39</v>
      </c>
      <c r="BJ145" s="402">
        <f t="shared" si="80"/>
        <v>2820950.666666667</v>
      </c>
      <c r="BK145" s="402">
        <v>2000000</v>
      </c>
      <c r="BL145" s="402"/>
      <c r="BM145" s="403"/>
    </row>
    <row r="146" spans="1:66" s="404" customFormat="1" ht="25.5">
      <c r="A146" s="380">
        <f t="shared" si="57"/>
        <v>113</v>
      </c>
      <c r="B146" s="381" t="s">
        <v>255</v>
      </c>
      <c r="C146" s="382" t="s">
        <v>256</v>
      </c>
      <c r="D146" s="381" t="s">
        <v>64</v>
      </c>
      <c r="E146" s="383" t="s">
        <v>65</v>
      </c>
      <c r="F146" s="381"/>
      <c r="G146" s="381"/>
      <c r="H146" s="384">
        <v>43525</v>
      </c>
      <c r="I146" s="384">
        <v>43525</v>
      </c>
      <c r="J146" s="385">
        <v>3000000</v>
      </c>
      <c r="K146" s="386">
        <v>7.7499999999999999E-2</v>
      </c>
      <c r="L146" s="387">
        <v>7.4999999999999997E-2</v>
      </c>
      <c r="M146" s="388">
        <v>0.9</v>
      </c>
      <c r="N146" s="389">
        <v>9</v>
      </c>
      <c r="O146" s="389"/>
      <c r="P146" s="388">
        <v>12</v>
      </c>
      <c r="Q146" s="389">
        <f t="shared" si="81"/>
        <v>156937.5</v>
      </c>
      <c r="R146" s="389">
        <f t="shared" si="55"/>
        <v>1819968.197694957</v>
      </c>
      <c r="S146" s="389">
        <f t="shared" si="82"/>
        <v>95207.086341917442</v>
      </c>
      <c r="T146" s="389">
        <f t="shared" si="56"/>
        <v>61730.413658082558</v>
      </c>
      <c r="U146" s="390">
        <v>0.606656065898319</v>
      </c>
      <c r="V146" s="389"/>
      <c r="W146" s="388"/>
      <c r="X146" s="389">
        <f t="shared" si="51"/>
        <v>1819968.197694957</v>
      </c>
      <c r="Y146" s="389">
        <f t="shared" si="51"/>
        <v>95207.086341917442</v>
      </c>
      <c r="Z146" s="391">
        <f t="shared" si="52"/>
        <v>1819968.197694957</v>
      </c>
      <c r="AA146" s="391">
        <f t="shared" si="52"/>
        <v>95207.086341917442</v>
      </c>
      <c r="AB146" s="392"/>
      <c r="AC146" s="392">
        <v>94756.01</v>
      </c>
      <c r="AD146" s="391">
        <f t="shared" si="58"/>
        <v>451.07634191744728</v>
      </c>
      <c r="AE146" s="393">
        <v>0</v>
      </c>
      <c r="AF146" s="393">
        <f t="shared" si="83"/>
        <v>8622.7257714207371</v>
      </c>
      <c r="AG146" s="393"/>
      <c r="AH146" s="394"/>
      <c r="AI146" s="394"/>
      <c r="AJ146" s="394"/>
      <c r="AK146" s="394"/>
      <c r="AL146" s="394"/>
      <c r="AM146" s="395">
        <f t="shared" si="53"/>
        <v>451.07634191744728</v>
      </c>
      <c r="AN146" s="395"/>
      <c r="AO146" s="395"/>
      <c r="AP146" s="395"/>
      <c r="AQ146" s="395">
        <f t="shared" si="50"/>
        <v>451.07634191744728</v>
      </c>
      <c r="AR146" s="395"/>
      <c r="AS146" s="395">
        <v>95207.09</v>
      </c>
      <c r="AT146" s="395">
        <f t="shared" si="78"/>
        <v>67500</v>
      </c>
      <c r="AU146" s="396">
        <f t="shared" si="84"/>
        <v>9700.5664928483293</v>
      </c>
      <c r="AV146" s="397"/>
      <c r="AW146" s="397"/>
      <c r="AX146" s="398"/>
      <c r="AY146" s="398"/>
      <c r="AZ146" s="398"/>
      <c r="BA146" s="398"/>
      <c r="BB146" s="399">
        <f t="shared" si="54"/>
        <v>9700.5664928483293</v>
      </c>
      <c r="BC146" s="399">
        <f t="shared" si="85"/>
        <v>11086.361706112377</v>
      </c>
      <c r="BD146" s="400"/>
      <c r="BE146" s="400"/>
      <c r="BF146" s="400"/>
      <c r="BG146" s="401">
        <f t="shared" si="86"/>
        <v>12934.088657131106</v>
      </c>
      <c r="BH146" s="401"/>
      <c r="BI146" s="401">
        <f t="shared" si="79"/>
        <v>27707.089999999997</v>
      </c>
      <c r="BJ146" s="402">
        <f t="shared" si="80"/>
        <v>4231426.222222222</v>
      </c>
      <c r="BK146" s="402">
        <v>3000000</v>
      </c>
      <c r="BL146" s="402"/>
      <c r="BM146" s="403"/>
    </row>
    <row r="147" spans="1:66" ht="38.25">
      <c r="A147" s="236">
        <f t="shared" si="57"/>
        <v>114</v>
      </c>
      <c r="B147" s="237" t="s">
        <v>257</v>
      </c>
      <c r="C147" s="253" t="s">
        <v>258</v>
      </c>
      <c r="D147" s="117" t="s">
        <v>241</v>
      </c>
      <c r="E147" s="237" t="s">
        <v>98</v>
      </c>
      <c r="F147" s="237"/>
      <c r="G147" s="237"/>
      <c r="H147" s="238">
        <v>43497</v>
      </c>
      <c r="I147" s="61" t="s">
        <v>259</v>
      </c>
      <c r="J147" s="239">
        <v>40000000</v>
      </c>
      <c r="K147" s="240">
        <v>7.7499999999999999E-2</v>
      </c>
      <c r="L147" s="63">
        <v>7.4999999999999997E-2</v>
      </c>
      <c r="M147" s="241">
        <v>0.9</v>
      </c>
      <c r="N147" s="242">
        <v>10</v>
      </c>
      <c r="O147" s="242">
        <v>3</v>
      </c>
      <c r="P147" s="241">
        <v>12</v>
      </c>
      <c r="Q147" s="242">
        <f t="shared" si="81"/>
        <v>2325000</v>
      </c>
      <c r="R147" s="242">
        <f t="shared" si="55"/>
        <v>24266242.635932758</v>
      </c>
      <c r="S147" s="242">
        <f t="shared" si="82"/>
        <v>1410475.3532135915</v>
      </c>
      <c r="T147" s="242">
        <f t="shared" si="56"/>
        <v>914524.6467864085</v>
      </c>
      <c r="U147" s="243">
        <v>0.606656065898319</v>
      </c>
      <c r="V147" s="242"/>
      <c r="W147" s="241"/>
      <c r="X147" s="242">
        <f t="shared" si="51"/>
        <v>24266242.635932758</v>
      </c>
      <c r="Y147" s="242">
        <f t="shared" si="51"/>
        <v>1410475.3532135915</v>
      </c>
      <c r="Z147" s="244">
        <f t="shared" si="52"/>
        <v>24266242.635932758</v>
      </c>
      <c r="AA147" s="244">
        <f>SUM(Y147)+786932.88</f>
        <v>2197408.2332135914</v>
      </c>
      <c r="AB147" s="307">
        <v>1410461.25</v>
      </c>
      <c r="AC147" s="307">
        <v>708206.63</v>
      </c>
      <c r="AD147" s="244">
        <f t="shared" si="58"/>
        <v>78740.353213591385</v>
      </c>
      <c r="AE147" s="246">
        <v>872.65743812918663</v>
      </c>
      <c r="AF147" s="246">
        <f t="shared" si="83"/>
        <v>1505191.9371773745</v>
      </c>
      <c r="AG147" s="246"/>
      <c r="AH147" s="247"/>
      <c r="AI147" s="247"/>
      <c r="AJ147" s="70"/>
      <c r="AK147" s="70"/>
      <c r="AL147" s="71"/>
      <c r="AM147" s="69">
        <f t="shared" si="53"/>
        <v>78740.353213591385</v>
      </c>
      <c r="AN147" s="69"/>
      <c r="AO147" s="69"/>
      <c r="AP147" s="69"/>
      <c r="AQ147" s="69">
        <f t="shared" si="50"/>
        <v>78740.353213591385</v>
      </c>
      <c r="AR147" s="69"/>
      <c r="AS147" s="69">
        <f t="shared" si="77"/>
        <v>78740.353213591385</v>
      </c>
      <c r="AT147" s="69">
        <f t="shared" si="78"/>
        <v>78740.353125000009</v>
      </c>
      <c r="AU147" s="248">
        <f t="shared" si="84"/>
        <v>1693340.9293245461</v>
      </c>
      <c r="AV147" s="248"/>
      <c r="AW147" s="248"/>
      <c r="AX147" s="249"/>
      <c r="AY147" s="74"/>
      <c r="AZ147" s="74"/>
      <c r="BA147" s="75"/>
      <c r="BB147" s="76">
        <f t="shared" si="54"/>
        <v>1693340.9293245461</v>
      </c>
      <c r="BC147" s="76">
        <f t="shared" si="85"/>
        <v>1935246.7763709098</v>
      </c>
      <c r="BD147" s="251"/>
      <c r="BE147" s="251"/>
      <c r="BF147" s="251"/>
      <c r="BG147" s="78">
        <f t="shared" si="86"/>
        <v>2257787.9057660615</v>
      </c>
      <c r="BH147" s="78"/>
      <c r="BI147" s="78">
        <f t="shared" si="79"/>
        <v>8.8591375970281661E-5</v>
      </c>
      <c r="BJ147" s="79">
        <f t="shared" si="80"/>
        <v>3499571.2539373948</v>
      </c>
      <c r="BK147" s="79">
        <v>3499571.25</v>
      </c>
      <c r="BL147" s="143"/>
      <c r="BM147" s="293" t="s">
        <v>260</v>
      </c>
      <c r="BN147" s="56" t="s">
        <v>76</v>
      </c>
    </row>
    <row r="148" spans="1:66" s="112" customFormat="1" ht="25.5">
      <c r="A148" s="84">
        <f t="shared" si="57"/>
        <v>115</v>
      </c>
      <c r="B148" s="85" t="s">
        <v>261</v>
      </c>
      <c r="C148" s="86" t="s">
        <v>262</v>
      </c>
      <c r="D148" s="85" t="s">
        <v>64</v>
      </c>
      <c r="E148" s="87" t="s">
        <v>98</v>
      </c>
      <c r="F148" s="89"/>
      <c r="G148" s="89"/>
      <c r="H148" s="90">
        <v>43525</v>
      </c>
      <c r="I148" s="90">
        <v>43525</v>
      </c>
      <c r="J148" s="91">
        <v>3000000</v>
      </c>
      <c r="K148" s="92">
        <v>7.7499999999999999E-2</v>
      </c>
      <c r="L148" s="63">
        <v>7.4999999999999997E-2</v>
      </c>
      <c r="M148" s="93">
        <v>0.9</v>
      </c>
      <c r="N148" s="94">
        <v>9</v>
      </c>
      <c r="O148" s="94"/>
      <c r="P148" s="93">
        <v>12</v>
      </c>
      <c r="Q148" s="95">
        <f t="shared" si="81"/>
        <v>156937.5</v>
      </c>
      <c r="R148" s="94">
        <f t="shared" si="55"/>
        <v>1819968.197694957</v>
      </c>
      <c r="S148" s="95">
        <f t="shared" si="82"/>
        <v>95207.086341917442</v>
      </c>
      <c r="T148" s="95">
        <f t="shared" si="56"/>
        <v>61730.413658082558</v>
      </c>
      <c r="U148" s="96">
        <v>0.606656065898319</v>
      </c>
      <c r="V148" s="94"/>
      <c r="W148" s="97"/>
      <c r="X148" s="95">
        <f t="shared" si="51"/>
        <v>1819968.197694957</v>
      </c>
      <c r="Y148" s="95">
        <f>S148-W148</f>
        <v>95207.086341917442</v>
      </c>
      <c r="Z148" s="98">
        <f t="shared" si="52"/>
        <v>1819968.197694957</v>
      </c>
      <c r="AA148" s="98">
        <f>SUM(Y148)-35376.1</f>
        <v>59830.986341917443</v>
      </c>
      <c r="AB148" s="304">
        <f>116249.99-AB149</f>
        <v>59830.98</v>
      </c>
      <c r="AC148" s="304"/>
      <c r="AD148" s="98">
        <f t="shared" si="58"/>
        <v>6.3419174402952194E-3</v>
      </c>
      <c r="AE148" s="100">
        <v>8.0939545296132565E-3</v>
      </c>
      <c r="AF148" s="100">
        <f t="shared" si="83"/>
        <v>0.12123139670815233</v>
      </c>
      <c r="AG148" s="100"/>
      <c r="AH148" s="101"/>
      <c r="AI148" s="101"/>
      <c r="AJ148" s="101"/>
      <c r="AK148" s="101"/>
      <c r="AL148" s="101"/>
      <c r="AM148" s="104">
        <f t="shared" si="53"/>
        <v>6.3419174402952194E-3</v>
      </c>
      <c r="AN148" s="104"/>
      <c r="AO148" s="104"/>
      <c r="AP148" s="104"/>
      <c r="AQ148" s="104">
        <f t="shared" si="50"/>
        <v>6.3419174402952194E-3</v>
      </c>
      <c r="AR148" s="104"/>
      <c r="AS148" s="104">
        <f t="shared" si="77"/>
        <v>6.3419174402952194E-3</v>
      </c>
      <c r="AT148" s="104">
        <f t="shared" si="78"/>
        <v>0</v>
      </c>
      <c r="AU148" s="181">
        <f t="shared" si="84"/>
        <v>0.13638532129667136</v>
      </c>
      <c r="AV148" s="106"/>
      <c r="AW148" s="106"/>
      <c r="AX148" s="107"/>
      <c r="AY148" s="107"/>
      <c r="AZ148" s="107"/>
      <c r="BA148" s="107"/>
      <c r="BB148" s="108">
        <f t="shared" si="54"/>
        <v>0.13638532129667136</v>
      </c>
      <c r="BC148" s="108">
        <f t="shared" si="85"/>
        <v>0.15586893862476728</v>
      </c>
      <c r="BD148" s="109"/>
      <c r="BE148" s="109"/>
      <c r="BF148" s="109"/>
      <c r="BG148" s="110">
        <f t="shared" si="86"/>
        <v>0.18184709506222849</v>
      </c>
      <c r="BH148" s="110"/>
      <c r="BI148" s="110">
        <f t="shared" si="79"/>
        <v>6.3419174402952194E-3</v>
      </c>
      <c r="BJ148" s="116">
        <f t="shared" si="80"/>
        <v>0.2818629973464542</v>
      </c>
      <c r="BK148" s="116"/>
      <c r="BL148" s="79"/>
      <c r="BM148" s="111"/>
    </row>
    <row r="149" spans="1:66" s="112" customFormat="1" ht="25.5">
      <c r="A149" s="84">
        <f t="shared" si="57"/>
        <v>116</v>
      </c>
      <c r="B149" s="85" t="s">
        <v>261</v>
      </c>
      <c r="C149" s="86" t="s">
        <v>262</v>
      </c>
      <c r="D149" s="85" t="s">
        <v>120</v>
      </c>
      <c r="E149" s="87" t="s">
        <v>98</v>
      </c>
      <c r="F149" s="89"/>
      <c r="G149" s="89"/>
      <c r="H149" s="90">
        <v>43556</v>
      </c>
      <c r="I149" s="90">
        <v>43556</v>
      </c>
      <c r="J149" s="91">
        <v>2000000</v>
      </c>
      <c r="K149" s="92">
        <v>7.7499999999999999E-2</v>
      </c>
      <c r="L149" s="63">
        <v>7.4999999999999997E-2</v>
      </c>
      <c r="M149" s="93">
        <v>0.9</v>
      </c>
      <c r="N149" s="94">
        <v>8</v>
      </c>
      <c r="O149" s="94"/>
      <c r="P149" s="93">
        <v>12</v>
      </c>
      <c r="Q149" s="95">
        <f t="shared" si="81"/>
        <v>93000</v>
      </c>
      <c r="R149" s="94">
        <f t="shared" si="55"/>
        <v>1213312.131796638</v>
      </c>
      <c r="S149" s="95">
        <f t="shared" si="82"/>
        <v>56419.014128543669</v>
      </c>
      <c r="T149" s="95">
        <f t="shared" si="56"/>
        <v>36580.985871456331</v>
      </c>
      <c r="U149" s="96">
        <v>0.606656065898319</v>
      </c>
      <c r="V149" s="94"/>
      <c r="W149" s="97"/>
      <c r="X149" s="95">
        <f t="shared" si="51"/>
        <v>1213312.131796638</v>
      </c>
      <c r="Y149" s="95">
        <f t="shared" si="51"/>
        <v>56419.014128543669</v>
      </c>
      <c r="Z149" s="98">
        <f t="shared" si="52"/>
        <v>1213312.131796638</v>
      </c>
      <c r="AA149" s="98">
        <f t="shared" si="52"/>
        <v>56419.014128543669</v>
      </c>
      <c r="AB149" s="304">
        <v>56419.01</v>
      </c>
      <c r="AC149" s="304"/>
      <c r="AD149" s="98">
        <f t="shared" si="58"/>
        <v>4.1285436673206277E-3</v>
      </c>
      <c r="AE149" s="100">
        <v>0</v>
      </c>
      <c r="AF149" s="100">
        <f t="shared" si="83"/>
        <v>7.892078694997616E-2</v>
      </c>
      <c r="AG149" s="100"/>
      <c r="AH149" s="101"/>
      <c r="AI149" s="101"/>
      <c r="AJ149" s="101"/>
      <c r="AK149" s="101"/>
      <c r="AL149" s="101"/>
      <c r="AM149" s="104">
        <f t="shared" si="53"/>
        <v>4.1285436673206277E-3</v>
      </c>
      <c r="AN149" s="104"/>
      <c r="AO149" s="104"/>
      <c r="AP149" s="104"/>
      <c r="AQ149" s="104">
        <f t="shared" si="50"/>
        <v>4.1285436673206277E-3</v>
      </c>
      <c r="AR149" s="104"/>
      <c r="AS149" s="104">
        <f t="shared" si="77"/>
        <v>4.1285436673206277E-3</v>
      </c>
      <c r="AT149" s="104">
        <f t="shared" si="78"/>
        <v>0</v>
      </c>
      <c r="AU149" s="181">
        <f t="shared" si="84"/>
        <v>8.8785885318723168E-2</v>
      </c>
      <c r="AV149" s="106"/>
      <c r="AW149" s="106"/>
      <c r="AX149" s="107"/>
      <c r="AY149" s="107"/>
      <c r="AZ149" s="107"/>
      <c r="BA149" s="107"/>
      <c r="BB149" s="108">
        <f t="shared" si="54"/>
        <v>8.8785885318723168E-2</v>
      </c>
      <c r="BC149" s="108">
        <f t="shared" si="85"/>
        <v>0.10146958322139793</v>
      </c>
      <c r="BD149" s="109"/>
      <c r="BE149" s="109"/>
      <c r="BF149" s="109"/>
      <c r="BG149" s="110">
        <f t="shared" si="86"/>
        <v>0.11838118042496423</v>
      </c>
      <c r="BH149" s="110"/>
      <c r="BI149" s="110">
        <f t="shared" si="79"/>
        <v>4.1285436673206277E-3</v>
      </c>
      <c r="BJ149" s="116">
        <f t="shared" si="80"/>
        <v>0.18349082965869457</v>
      </c>
      <c r="BK149" s="116"/>
      <c r="BL149" s="79"/>
      <c r="BM149" s="111"/>
    </row>
    <row r="150" spans="1:66" s="5" customFormat="1" ht="25.5">
      <c r="A150" s="171">
        <f t="shared" si="57"/>
        <v>117</v>
      </c>
      <c r="B150" s="87" t="s">
        <v>263</v>
      </c>
      <c r="C150" s="172" t="s">
        <v>264</v>
      </c>
      <c r="D150" s="87" t="s">
        <v>265</v>
      </c>
      <c r="E150" s="87" t="s">
        <v>65</v>
      </c>
      <c r="F150" s="87"/>
      <c r="G150" s="87"/>
      <c r="H150" s="174">
        <v>43586</v>
      </c>
      <c r="I150" s="174" t="s">
        <v>117</v>
      </c>
      <c r="J150" s="175">
        <v>4000000</v>
      </c>
      <c r="K150" s="121">
        <v>7.7499999999999999E-2</v>
      </c>
      <c r="L150" s="121">
        <v>7.4999999999999997E-2</v>
      </c>
      <c r="M150" s="176">
        <v>0.9</v>
      </c>
      <c r="N150" s="177">
        <v>7</v>
      </c>
      <c r="O150" s="177"/>
      <c r="P150" s="176">
        <v>12</v>
      </c>
      <c r="Q150" s="177">
        <f t="shared" si="81"/>
        <v>162750</v>
      </c>
      <c r="R150" s="177">
        <f t="shared" si="55"/>
        <v>2426624.263593276</v>
      </c>
      <c r="S150" s="177">
        <f t="shared" si="82"/>
        <v>98733.274724951421</v>
      </c>
      <c r="T150" s="177">
        <f t="shared" si="56"/>
        <v>64016.725275048579</v>
      </c>
      <c r="U150" s="178">
        <v>0.606656065898319</v>
      </c>
      <c r="V150" s="177"/>
      <c r="W150" s="176"/>
      <c r="X150" s="177">
        <f t="shared" si="51"/>
        <v>2426624.263593276</v>
      </c>
      <c r="Y150" s="177">
        <f t="shared" si="51"/>
        <v>98733.274724951421</v>
      </c>
      <c r="Z150" s="179">
        <f t="shared" si="52"/>
        <v>2426624.263593276</v>
      </c>
      <c r="AA150" s="179">
        <f t="shared" si="52"/>
        <v>98733.274724951421</v>
      </c>
      <c r="AB150" s="308"/>
      <c r="AC150" s="308"/>
      <c r="AD150" s="179">
        <f t="shared" si="58"/>
        <v>98733.274724951421</v>
      </c>
      <c r="AE150" s="180">
        <v>3154611.5426712586</v>
      </c>
      <c r="AF150" s="180">
        <f t="shared" si="83"/>
        <v>1887374.4272392145</v>
      </c>
      <c r="AG150" s="180"/>
      <c r="AH150" s="104"/>
      <c r="AI150" s="104"/>
      <c r="AJ150" s="104">
        <v>98733.27</v>
      </c>
      <c r="AK150" s="104"/>
      <c r="AL150" s="104"/>
      <c r="AM150" s="104">
        <f t="shared" si="53"/>
        <v>4.7249514173017815E-3</v>
      </c>
      <c r="AN150" s="104"/>
      <c r="AO150" s="104"/>
      <c r="AP150" s="104"/>
      <c r="AQ150" s="104">
        <f t="shared" si="50"/>
        <v>4.7249514173017815E-3</v>
      </c>
      <c r="AR150" s="104"/>
      <c r="AS150" s="104">
        <f t="shared" si="77"/>
        <v>4.7249514173017815E-3</v>
      </c>
      <c r="AT150" s="104">
        <f t="shared" si="78"/>
        <v>0</v>
      </c>
      <c r="AU150" s="181">
        <f t="shared" si="84"/>
        <v>2123296.2306441166</v>
      </c>
      <c r="AV150" s="181"/>
      <c r="AW150" s="181"/>
      <c r="AX150" s="182"/>
      <c r="AY150" s="181">
        <f>AJ150/K150/M150/N150*P150</f>
        <v>2426624.1474654377</v>
      </c>
      <c r="AZ150" s="181"/>
      <c r="BA150" s="181"/>
      <c r="BB150" s="108">
        <f t="shared" si="54"/>
        <v>-303327.91682132101</v>
      </c>
      <c r="BC150" s="108">
        <f t="shared" si="85"/>
        <v>0.11612783821325423</v>
      </c>
      <c r="BD150" s="183"/>
      <c r="BE150" s="183"/>
      <c r="BF150" s="183"/>
      <c r="BG150" s="110">
        <f t="shared" si="86"/>
        <v>0.13548247791546325</v>
      </c>
      <c r="BH150" s="110"/>
      <c r="BI150" s="110">
        <f t="shared" si="79"/>
        <v>4.7249514173017815E-3</v>
      </c>
      <c r="BJ150" s="116">
        <f t="shared" si="80"/>
        <v>0.20999784076896805</v>
      </c>
      <c r="BK150" s="116"/>
      <c r="BL150" s="169"/>
      <c r="BM150" s="147" t="s">
        <v>266</v>
      </c>
    </row>
    <row r="151" spans="1:66" s="81" customFormat="1" ht="25.5">
      <c r="A151" s="56">
        <f t="shared" si="57"/>
        <v>118</v>
      </c>
      <c r="B151" s="57" t="s">
        <v>263</v>
      </c>
      <c r="C151" s="58" t="s">
        <v>264</v>
      </c>
      <c r="D151" s="57" t="s">
        <v>111</v>
      </c>
      <c r="E151" s="57" t="s">
        <v>65</v>
      </c>
      <c r="F151" s="57"/>
      <c r="G151" s="57"/>
      <c r="H151" s="60">
        <v>43617</v>
      </c>
      <c r="I151" s="60">
        <v>43617</v>
      </c>
      <c r="J151" s="62">
        <v>4000000</v>
      </c>
      <c r="K151" s="63">
        <v>7.7499999999999999E-2</v>
      </c>
      <c r="L151" s="63">
        <v>7.4999999999999997E-2</v>
      </c>
      <c r="M151" s="64">
        <v>0.9</v>
      </c>
      <c r="N151" s="65">
        <v>6</v>
      </c>
      <c r="O151" s="65">
        <v>4</v>
      </c>
      <c r="P151" s="64">
        <v>12</v>
      </c>
      <c r="Q151" s="65">
        <f t="shared" si="81"/>
        <v>139500</v>
      </c>
      <c r="R151" s="65">
        <f t="shared" si="55"/>
        <v>2426624.263593276</v>
      </c>
      <c r="S151" s="65">
        <f t="shared" si="82"/>
        <v>84628.521192815504</v>
      </c>
      <c r="T151" s="65">
        <f t="shared" si="56"/>
        <v>54871.478807184496</v>
      </c>
      <c r="U151" s="66">
        <v>0.606656065898319</v>
      </c>
      <c r="V151" s="65"/>
      <c r="W151" s="64"/>
      <c r="X151" s="65">
        <f t="shared" si="51"/>
        <v>2426624.263593276</v>
      </c>
      <c r="Y151" s="65">
        <f t="shared" si="51"/>
        <v>84628.521192815504</v>
      </c>
      <c r="Z151" s="67">
        <f t="shared" si="52"/>
        <v>2426624.263593276</v>
      </c>
      <c r="AA151" s="67">
        <f t="shared" si="52"/>
        <v>84628.521192815504</v>
      </c>
      <c r="AB151" s="309"/>
      <c r="AC151" s="309"/>
      <c r="AD151" s="67">
        <f t="shared" si="58"/>
        <v>84628.521192815504</v>
      </c>
      <c r="AE151" s="68">
        <v>0</v>
      </c>
      <c r="AF151" s="68">
        <f t="shared" si="83"/>
        <v>1617749.509062184</v>
      </c>
      <c r="AG151" s="68"/>
      <c r="AH151" s="69"/>
      <c r="AI151" s="69"/>
      <c r="AJ151" s="70">
        <f>127758.75-98733.27</f>
        <v>29025.479999999996</v>
      </c>
      <c r="AK151" s="70"/>
      <c r="AL151" s="71"/>
      <c r="AM151" s="69">
        <f t="shared" si="53"/>
        <v>55603.041192815508</v>
      </c>
      <c r="AN151" s="69"/>
      <c r="AO151" s="69"/>
      <c r="AP151" s="69"/>
      <c r="AQ151" s="69">
        <f t="shared" si="50"/>
        <v>55603.041192815508</v>
      </c>
      <c r="AR151" s="69"/>
      <c r="AS151" s="69">
        <f t="shared" si="77"/>
        <v>55603.041192815508</v>
      </c>
      <c r="AT151" s="69">
        <f t="shared" si="78"/>
        <v>55603.041300000004</v>
      </c>
      <c r="AU151" s="72">
        <f t="shared" si="84"/>
        <v>1819968.197694957</v>
      </c>
      <c r="AV151" s="72"/>
      <c r="AW151" s="72"/>
      <c r="AX151" s="73"/>
      <c r="AY151" s="136">
        <f>AJ151/7.75%/0.9/7*12</f>
        <v>713375.85253456212</v>
      </c>
      <c r="AZ151" s="136"/>
      <c r="BA151" s="250"/>
      <c r="BB151" s="76">
        <f t="shared" si="54"/>
        <v>1106592.3451603949</v>
      </c>
      <c r="BC151" s="76">
        <f t="shared" si="85"/>
        <v>1366587.8019739604</v>
      </c>
      <c r="BD151" s="77"/>
      <c r="BE151" s="77"/>
      <c r="BF151" s="77"/>
      <c r="BG151" s="78">
        <f t="shared" si="86"/>
        <v>1594352.4356362871</v>
      </c>
      <c r="BH151" s="78"/>
      <c r="BI151" s="78">
        <f t="shared" si="79"/>
        <v>-1.0718449630076066E-4</v>
      </c>
      <c r="BJ151" s="79">
        <f t="shared" si="80"/>
        <v>2471246.2752362448</v>
      </c>
      <c r="BK151" s="79">
        <v>2471246.2799999998</v>
      </c>
      <c r="BL151" s="143">
        <v>2000000</v>
      </c>
      <c r="BM151" s="82" t="s">
        <v>72</v>
      </c>
      <c r="BN151" s="153" t="s">
        <v>73</v>
      </c>
    </row>
    <row r="152" spans="1:66" s="81" customFormat="1" ht="25.5" hidden="1">
      <c r="A152" s="56"/>
      <c r="B152" s="117" t="s">
        <v>267</v>
      </c>
      <c r="C152" s="58" t="s">
        <v>268</v>
      </c>
      <c r="D152" s="57" t="s">
        <v>64</v>
      </c>
      <c r="E152" s="57" t="s">
        <v>65</v>
      </c>
      <c r="F152" s="57"/>
      <c r="G152" s="57"/>
      <c r="H152" s="60"/>
      <c r="I152" s="60"/>
      <c r="J152" s="62"/>
      <c r="K152" s="63"/>
      <c r="L152" s="63">
        <v>7.4999999999999997E-2</v>
      </c>
      <c r="M152" s="64">
        <v>0.9</v>
      </c>
      <c r="N152" s="65">
        <v>6</v>
      </c>
      <c r="O152" s="65">
        <v>4</v>
      </c>
      <c r="P152" s="64">
        <v>12</v>
      </c>
      <c r="Q152" s="65"/>
      <c r="R152" s="65"/>
      <c r="S152" s="65"/>
      <c r="T152" s="65"/>
      <c r="U152" s="66"/>
      <c r="V152" s="65"/>
      <c r="W152" s="64"/>
      <c r="X152" s="65"/>
      <c r="Y152" s="65"/>
      <c r="Z152" s="67"/>
      <c r="AA152" s="67"/>
      <c r="AB152" s="309"/>
      <c r="AC152" s="309"/>
      <c r="AD152" s="67"/>
      <c r="AE152" s="68"/>
      <c r="AF152" s="68"/>
      <c r="AG152" s="68"/>
      <c r="AH152" s="69"/>
      <c r="AI152" s="69"/>
      <c r="AJ152" s="70"/>
      <c r="AK152" s="70"/>
      <c r="AL152" s="71"/>
      <c r="AM152" s="69"/>
      <c r="AN152" s="69"/>
      <c r="AO152" s="69"/>
      <c r="AP152" s="69"/>
      <c r="AQ152" s="69"/>
      <c r="AR152" s="269"/>
      <c r="AS152" s="69">
        <f t="shared" si="77"/>
        <v>0</v>
      </c>
      <c r="AT152" s="69">
        <f t="shared" si="78"/>
        <v>0</v>
      </c>
      <c r="AU152" s="72"/>
      <c r="AV152" s="72"/>
      <c r="AW152" s="72"/>
      <c r="AX152" s="73"/>
      <c r="AY152" s="136"/>
      <c r="AZ152" s="136"/>
      <c r="BA152" s="250"/>
      <c r="BB152" s="76"/>
      <c r="BC152" s="76"/>
      <c r="BD152" s="77"/>
      <c r="BE152" s="77"/>
      <c r="BF152" s="77"/>
      <c r="BG152" s="78"/>
      <c r="BH152" s="78"/>
      <c r="BI152" s="78">
        <f t="shared" si="79"/>
        <v>0</v>
      </c>
      <c r="BJ152" s="79">
        <f t="shared" si="80"/>
        <v>0</v>
      </c>
      <c r="BK152" s="79"/>
      <c r="BL152" s="79">
        <v>1000000</v>
      </c>
      <c r="BM152" s="144" t="s">
        <v>99</v>
      </c>
      <c r="BN152" s="310" t="s">
        <v>73</v>
      </c>
    </row>
    <row r="153" spans="1:66" s="81" customFormat="1" ht="25.5" hidden="1">
      <c r="A153" s="56"/>
      <c r="B153" s="117" t="s">
        <v>269</v>
      </c>
      <c r="C153" s="58" t="s">
        <v>270</v>
      </c>
      <c r="D153" s="57" t="s">
        <v>120</v>
      </c>
      <c r="E153" s="57" t="s">
        <v>65</v>
      </c>
      <c r="F153" s="57"/>
      <c r="G153" s="57"/>
      <c r="H153" s="60"/>
      <c r="I153" s="60"/>
      <c r="J153" s="62"/>
      <c r="K153" s="63"/>
      <c r="L153" s="63">
        <v>7.4999999999999997E-2</v>
      </c>
      <c r="M153" s="64">
        <v>0.9</v>
      </c>
      <c r="N153" s="65">
        <v>6</v>
      </c>
      <c r="O153" s="65">
        <v>4</v>
      </c>
      <c r="P153" s="64">
        <v>12</v>
      </c>
      <c r="Q153" s="65"/>
      <c r="R153" s="65"/>
      <c r="S153" s="65"/>
      <c r="T153" s="65"/>
      <c r="U153" s="66"/>
      <c r="V153" s="65"/>
      <c r="W153" s="64"/>
      <c r="X153" s="65"/>
      <c r="Y153" s="65"/>
      <c r="Z153" s="67"/>
      <c r="AA153" s="67"/>
      <c r="AB153" s="309"/>
      <c r="AC153" s="309"/>
      <c r="AD153" s="67"/>
      <c r="AE153" s="68"/>
      <c r="AF153" s="68"/>
      <c r="AG153" s="68"/>
      <c r="AH153" s="69"/>
      <c r="AI153" s="69"/>
      <c r="AJ153" s="70"/>
      <c r="AK153" s="70"/>
      <c r="AL153" s="71"/>
      <c r="AM153" s="69"/>
      <c r="AN153" s="69"/>
      <c r="AO153" s="69"/>
      <c r="AP153" s="69"/>
      <c r="AQ153" s="69"/>
      <c r="AR153" s="269"/>
      <c r="AS153" s="69">
        <f t="shared" si="77"/>
        <v>0</v>
      </c>
      <c r="AT153" s="69">
        <f t="shared" si="78"/>
        <v>0</v>
      </c>
      <c r="AU153" s="72"/>
      <c r="AV153" s="72"/>
      <c r="AW153" s="72"/>
      <c r="AX153" s="73"/>
      <c r="AY153" s="136"/>
      <c r="AZ153" s="136"/>
      <c r="BA153" s="250"/>
      <c r="BB153" s="76"/>
      <c r="BC153" s="76"/>
      <c r="BD153" s="77"/>
      <c r="BE153" s="77"/>
      <c r="BF153" s="77"/>
      <c r="BG153" s="78"/>
      <c r="BH153" s="78"/>
      <c r="BI153" s="78">
        <f t="shared" si="79"/>
        <v>0</v>
      </c>
      <c r="BJ153" s="79">
        <f t="shared" si="80"/>
        <v>0</v>
      </c>
      <c r="BK153" s="79"/>
      <c r="BL153" s="79">
        <v>3500000</v>
      </c>
      <c r="BM153" s="144" t="s">
        <v>99</v>
      </c>
      <c r="BN153" s="310" t="s">
        <v>73</v>
      </c>
    </row>
    <row r="154" spans="1:66" ht="38.25">
      <c r="A154" s="236">
        <f>A151+1</f>
        <v>119</v>
      </c>
      <c r="B154" s="237" t="s">
        <v>271</v>
      </c>
      <c r="C154" s="253" t="s">
        <v>272</v>
      </c>
      <c r="D154" s="237" t="s">
        <v>120</v>
      </c>
      <c r="E154" s="237" t="s">
        <v>98</v>
      </c>
      <c r="F154" s="237"/>
      <c r="G154" s="237"/>
      <c r="H154" s="238">
        <v>43525</v>
      </c>
      <c r="I154" s="61" t="s">
        <v>89</v>
      </c>
      <c r="J154" s="239">
        <v>40000000</v>
      </c>
      <c r="K154" s="240">
        <v>7.7499999999999999E-2</v>
      </c>
      <c r="L154" s="63">
        <v>7.4999999999999997E-2</v>
      </c>
      <c r="M154" s="241">
        <v>0.9</v>
      </c>
      <c r="N154" s="242">
        <v>9</v>
      </c>
      <c r="O154" s="242">
        <v>1</v>
      </c>
      <c r="P154" s="241">
        <v>12</v>
      </c>
      <c r="Q154" s="242">
        <f>J154*K154*M154*N154/P154</f>
        <v>2092500</v>
      </c>
      <c r="R154" s="242">
        <f t="shared" si="55"/>
        <v>24266242.635932758</v>
      </c>
      <c r="S154" s="242">
        <f>R154*K154*M154*N154/P154</f>
        <v>1269427.8178922324</v>
      </c>
      <c r="T154" s="242">
        <f t="shared" si="56"/>
        <v>823072.18210776756</v>
      </c>
      <c r="U154" s="243">
        <v>0.606656065898319</v>
      </c>
      <c r="V154" s="242"/>
      <c r="W154" s="241"/>
      <c r="X154" s="242">
        <f t="shared" si="51"/>
        <v>24266242.635932758</v>
      </c>
      <c r="Y154" s="242">
        <f t="shared" si="51"/>
        <v>1269427.8178922324</v>
      </c>
      <c r="Z154" s="244">
        <f t="shared" si="52"/>
        <v>24266242.635932758</v>
      </c>
      <c r="AA154" s="244">
        <f t="shared" si="52"/>
        <v>1269427.8178922324</v>
      </c>
      <c r="AB154" s="307">
        <v>1162500</v>
      </c>
      <c r="AC154" s="307"/>
      <c r="AD154" s="244">
        <f t="shared" si="58"/>
        <v>106927.81789223244</v>
      </c>
      <c r="AE154" s="246">
        <v>1839618.3723394796</v>
      </c>
      <c r="AF154" s="246">
        <f>AD154/K154/M154/9*P154</f>
        <v>2044020.4137105367</v>
      </c>
      <c r="AG154" s="246"/>
      <c r="AH154" s="247"/>
      <c r="AI154" s="247"/>
      <c r="AJ154" s="70"/>
      <c r="AK154" s="70"/>
      <c r="AL154" s="71"/>
      <c r="AM154" s="69">
        <f t="shared" si="53"/>
        <v>106927.81789223244</v>
      </c>
      <c r="AN154" s="69"/>
      <c r="AO154" s="69"/>
      <c r="AP154" s="69"/>
      <c r="AQ154" s="69">
        <f t="shared" si="50"/>
        <v>106927.81789223244</v>
      </c>
      <c r="AR154" s="69"/>
      <c r="AS154" s="69">
        <f t="shared" si="77"/>
        <v>106927.81789223244</v>
      </c>
      <c r="AT154" s="69">
        <f t="shared" si="78"/>
        <v>106927.81784999999</v>
      </c>
      <c r="AU154" s="248">
        <f>AD154/K154/M154/8*P154</f>
        <v>2299522.9654243537</v>
      </c>
      <c r="AV154" s="248"/>
      <c r="AW154" s="248"/>
      <c r="AX154" s="249"/>
      <c r="AY154" s="74"/>
      <c r="AZ154" s="74"/>
      <c r="BA154" s="75"/>
      <c r="BB154" s="76">
        <f t="shared" si="54"/>
        <v>2299522.9654243537</v>
      </c>
      <c r="BC154" s="76">
        <f>AM154/K154/M154/7*P154</f>
        <v>2628026.2461992614</v>
      </c>
      <c r="BD154" s="251"/>
      <c r="BE154" s="251"/>
      <c r="BF154" s="251"/>
      <c r="BG154" s="78">
        <f>AQ154/K154/M154/6*P154</f>
        <v>3066030.6205658051</v>
      </c>
      <c r="BH154" s="78"/>
      <c r="BI154" s="78">
        <f t="shared" si="79"/>
        <v>4.223245196044445E-5</v>
      </c>
      <c r="BJ154" s="79">
        <f t="shared" si="80"/>
        <v>4752347.4618769977</v>
      </c>
      <c r="BK154" s="79">
        <v>4752347.46</v>
      </c>
      <c r="BL154" s="79">
        <v>20000000</v>
      </c>
      <c r="BM154" s="293" t="s">
        <v>273</v>
      </c>
      <c r="BN154" s="56" t="s">
        <v>76</v>
      </c>
    </row>
    <row r="155" spans="1:66" s="112" customFormat="1" ht="25.5">
      <c r="A155" s="84">
        <f t="shared" ref="A155:A219" si="87">A154+1</f>
        <v>120</v>
      </c>
      <c r="B155" s="85" t="s">
        <v>274</v>
      </c>
      <c r="C155" s="86" t="s">
        <v>275</v>
      </c>
      <c r="D155" s="85" t="s">
        <v>64</v>
      </c>
      <c r="E155" s="87" t="s">
        <v>65</v>
      </c>
      <c r="F155" s="89"/>
      <c r="G155" s="89"/>
      <c r="H155" s="90">
        <v>43556</v>
      </c>
      <c r="I155" s="90">
        <v>43556</v>
      </c>
      <c r="J155" s="91">
        <v>10000000</v>
      </c>
      <c r="K155" s="92">
        <v>7.7499999999999999E-2</v>
      </c>
      <c r="L155" s="63">
        <v>7.4999999999999997E-2</v>
      </c>
      <c r="M155" s="93">
        <v>0.9</v>
      </c>
      <c r="N155" s="94">
        <v>8</v>
      </c>
      <c r="O155" s="94"/>
      <c r="P155" s="93">
        <v>12</v>
      </c>
      <c r="Q155" s="95">
        <f>J155*K155*M155*N155/P155</f>
        <v>465000</v>
      </c>
      <c r="R155" s="94">
        <f t="shared" si="55"/>
        <v>6066560.6589831896</v>
      </c>
      <c r="S155" s="95">
        <f>R155*K155*M155*N155/P155</f>
        <v>282095.07064271829</v>
      </c>
      <c r="T155" s="95">
        <f t="shared" si="56"/>
        <v>182904.92935728171</v>
      </c>
      <c r="U155" s="96">
        <v>0.606656065898319</v>
      </c>
      <c r="V155" s="94"/>
      <c r="W155" s="97"/>
      <c r="X155" s="95">
        <f t="shared" si="51"/>
        <v>6066560.6589831896</v>
      </c>
      <c r="Y155" s="95">
        <f t="shared" si="51"/>
        <v>282095.07064271829</v>
      </c>
      <c r="Z155" s="98">
        <f t="shared" si="52"/>
        <v>6066560.6589831896</v>
      </c>
      <c r="AA155" s="98">
        <f t="shared" si="52"/>
        <v>282095.07064271829</v>
      </c>
      <c r="AB155" s="304">
        <v>282080.63</v>
      </c>
      <c r="AC155" s="304"/>
      <c r="AD155" s="98">
        <f t="shared" si="58"/>
        <v>14.440642718283925</v>
      </c>
      <c r="AE155" s="100">
        <v>248.52718655113131</v>
      </c>
      <c r="AF155" s="100">
        <f>AD155/K155/M155/9*P155</f>
        <v>276.04573893971661</v>
      </c>
      <c r="AG155" s="100"/>
      <c r="AH155" s="101"/>
      <c r="AI155" s="101"/>
      <c r="AJ155" s="101"/>
      <c r="AK155" s="101"/>
      <c r="AL155" s="101"/>
      <c r="AM155" s="104">
        <f t="shared" si="53"/>
        <v>14.440642718283925</v>
      </c>
      <c r="AN155" s="104"/>
      <c r="AO155" s="104"/>
      <c r="AP155" s="104"/>
      <c r="AQ155" s="104">
        <f t="shared" si="50"/>
        <v>14.440642718283925</v>
      </c>
      <c r="AR155" s="104"/>
      <c r="AS155" s="104">
        <f t="shared" si="77"/>
        <v>14.440642718283925</v>
      </c>
      <c r="AT155" s="104">
        <f t="shared" si="78"/>
        <v>0</v>
      </c>
      <c r="AU155" s="181">
        <f>AD155/K155/M155/8*P155</f>
        <v>310.55145630718118</v>
      </c>
      <c r="AV155" s="106"/>
      <c r="AW155" s="106"/>
      <c r="AX155" s="107"/>
      <c r="AY155" s="107"/>
      <c r="AZ155" s="107"/>
      <c r="BA155" s="107"/>
      <c r="BB155" s="108">
        <f t="shared" si="54"/>
        <v>310.55145630718118</v>
      </c>
      <c r="BC155" s="108">
        <f>AM155/K155/M155/7*P155</f>
        <v>354.91595006534999</v>
      </c>
      <c r="BD155" s="109"/>
      <c r="BE155" s="109"/>
      <c r="BF155" s="109"/>
      <c r="BG155" s="110">
        <f>AQ155/K155/M155/6*P155</f>
        <v>414.06860840957495</v>
      </c>
      <c r="BH155" s="110"/>
      <c r="BI155" s="110">
        <f t="shared" si="79"/>
        <v>14.440642718283925</v>
      </c>
      <c r="BJ155" s="116">
        <f t="shared" si="80"/>
        <v>641.80634303484112</v>
      </c>
      <c r="BK155" s="116"/>
      <c r="BL155" s="79"/>
      <c r="BM155" s="111"/>
    </row>
    <row r="156" spans="1:66" s="170" customFormat="1" hidden="1">
      <c r="A156" s="150"/>
      <c r="B156" s="151" t="s">
        <v>274</v>
      </c>
      <c r="C156" s="152" t="s">
        <v>275</v>
      </c>
      <c r="D156" s="153"/>
      <c r="E156" s="127" t="s">
        <v>65</v>
      </c>
      <c r="F156" s="153"/>
      <c r="G156" s="153"/>
      <c r="H156" s="155"/>
      <c r="I156" s="155"/>
      <c r="J156" s="156"/>
      <c r="K156" s="157"/>
      <c r="L156" s="63">
        <v>7.4999999999999997E-2</v>
      </c>
      <c r="M156" s="64">
        <v>0.9</v>
      </c>
      <c r="N156" s="65">
        <v>9</v>
      </c>
      <c r="O156" s="65">
        <v>4</v>
      </c>
      <c r="P156" s="64">
        <v>12</v>
      </c>
      <c r="Q156" s="158"/>
      <c r="R156" s="158"/>
      <c r="S156" s="158"/>
      <c r="T156" s="158"/>
      <c r="U156" s="159"/>
      <c r="V156" s="158"/>
      <c r="W156" s="160"/>
      <c r="X156" s="158"/>
      <c r="Y156" s="158"/>
      <c r="Z156" s="161"/>
      <c r="AA156" s="161"/>
      <c r="AB156" s="311"/>
      <c r="AC156" s="311"/>
      <c r="AD156" s="161"/>
      <c r="AE156" s="163"/>
      <c r="AF156" s="163"/>
      <c r="AG156" s="163"/>
      <c r="AH156" s="102"/>
      <c r="AI156" s="102"/>
      <c r="AJ156" s="102"/>
      <c r="AK156" s="102"/>
      <c r="AL156" s="102"/>
      <c r="AM156" s="70"/>
      <c r="AN156" s="70"/>
      <c r="AO156" s="70"/>
      <c r="AP156" s="70"/>
      <c r="AQ156" s="70"/>
      <c r="AR156" s="70"/>
      <c r="AS156" s="69">
        <f t="shared" si="77"/>
        <v>0</v>
      </c>
      <c r="AT156" s="69">
        <f t="shared" si="78"/>
        <v>0</v>
      </c>
      <c r="AU156" s="136"/>
      <c r="AV156" s="165"/>
      <c r="AW156" s="165"/>
      <c r="AX156" s="166"/>
      <c r="AY156" s="166"/>
      <c r="AZ156" s="166"/>
      <c r="BA156" s="166"/>
      <c r="BB156" s="137"/>
      <c r="BC156" s="137"/>
      <c r="BD156" s="167"/>
      <c r="BE156" s="167"/>
      <c r="BF156" s="167"/>
      <c r="BG156" s="168"/>
      <c r="BH156" s="168"/>
      <c r="BI156" s="78">
        <f t="shared" si="79"/>
        <v>0</v>
      </c>
      <c r="BJ156" s="79">
        <f t="shared" si="80"/>
        <v>0</v>
      </c>
      <c r="BK156" s="79"/>
      <c r="BL156" s="169">
        <v>13000000</v>
      </c>
      <c r="BM156" s="186" t="s">
        <v>276</v>
      </c>
      <c r="BN156" s="170" t="s">
        <v>73</v>
      </c>
    </row>
    <row r="157" spans="1:66" s="81" customFormat="1" ht="38.25">
      <c r="A157" s="56">
        <f>A155+1</f>
        <v>121</v>
      </c>
      <c r="B157" s="57" t="s">
        <v>277</v>
      </c>
      <c r="C157" s="58" t="s">
        <v>278</v>
      </c>
      <c r="D157" s="57" t="s">
        <v>64</v>
      </c>
      <c r="E157" s="57" t="s">
        <v>65</v>
      </c>
      <c r="F157" s="57"/>
      <c r="G157" s="57"/>
      <c r="H157" s="60">
        <v>43497</v>
      </c>
      <c r="I157" s="61" t="s">
        <v>149</v>
      </c>
      <c r="J157" s="62">
        <v>2000000</v>
      </c>
      <c r="K157" s="63">
        <v>7.7499999999999999E-2</v>
      </c>
      <c r="L157" s="63">
        <v>7.4999999999999997E-2</v>
      </c>
      <c r="M157" s="64">
        <v>0.9</v>
      </c>
      <c r="N157" s="65">
        <v>10</v>
      </c>
      <c r="O157" s="65">
        <v>3</v>
      </c>
      <c r="P157" s="64">
        <v>12</v>
      </c>
      <c r="Q157" s="65">
        <f>J157*K157*M157*N157/P157</f>
        <v>116250</v>
      </c>
      <c r="R157" s="65">
        <f t="shared" si="55"/>
        <v>1213312.131796638</v>
      </c>
      <c r="S157" s="65">
        <f>R157*K157*M157*N157/P157</f>
        <v>70523.767660679587</v>
      </c>
      <c r="T157" s="65">
        <f t="shared" si="56"/>
        <v>45726.232339320413</v>
      </c>
      <c r="U157" s="66">
        <v>0.606656065898319</v>
      </c>
      <c r="V157" s="65"/>
      <c r="W157" s="64"/>
      <c r="X157" s="65">
        <f t="shared" si="51"/>
        <v>1213312.131796638</v>
      </c>
      <c r="Y157" s="65">
        <f t="shared" si="51"/>
        <v>70523.767660679587</v>
      </c>
      <c r="Z157" s="67">
        <f t="shared" si="52"/>
        <v>1213312.131796638</v>
      </c>
      <c r="AA157" s="67">
        <f t="shared" si="52"/>
        <v>70523.767660679587</v>
      </c>
      <c r="AB157" s="309"/>
      <c r="AC157" s="309"/>
      <c r="AD157" s="67">
        <f t="shared" si="58"/>
        <v>70523.767660679587</v>
      </c>
      <c r="AE157" s="68">
        <v>1213312.131796638</v>
      </c>
      <c r="AF157" s="68">
        <f>AD157/K157/M157/9*P157</f>
        <v>1348124.5908851533</v>
      </c>
      <c r="AG157" s="68"/>
      <c r="AH157" s="69"/>
      <c r="AI157" s="69"/>
      <c r="AJ157" s="70"/>
      <c r="AK157" s="70"/>
      <c r="AL157" s="71"/>
      <c r="AM157" s="69">
        <f t="shared" si="53"/>
        <v>70523.767660679587</v>
      </c>
      <c r="AN157" s="69"/>
      <c r="AO157" s="69"/>
      <c r="AP157" s="69"/>
      <c r="AQ157" s="69">
        <f t="shared" si="50"/>
        <v>70523.767660679587</v>
      </c>
      <c r="AR157" s="69"/>
      <c r="AS157" s="69">
        <f t="shared" si="77"/>
        <v>70523.767660679587</v>
      </c>
      <c r="AT157" s="69">
        <f t="shared" si="78"/>
        <v>45000</v>
      </c>
      <c r="AU157" s="72">
        <f>AD157/K157/M157/8*P157</f>
        <v>1516640.1647457974</v>
      </c>
      <c r="AV157" s="72"/>
      <c r="AW157" s="72"/>
      <c r="AX157" s="73"/>
      <c r="AY157" s="74"/>
      <c r="AZ157" s="74"/>
      <c r="BA157" s="75"/>
      <c r="BB157" s="76">
        <f t="shared" si="54"/>
        <v>1516640.1647457974</v>
      </c>
      <c r="BC157" s="76">
        <f>AM157/K157/M157/7*P157</f>
        <v>1733303.0454237687</v>
      </c>
      <c r="BD157" s="77"/>
      <c r="BE157" s="77"/>
      <c r="BF157" s="77"/>
      <c r="BG157" s="78">
        <f>AQ157/K157/M157/6*P157</f>
        <v>2022186.88632773</v>
      </c>
      <c r="BH157" s="78"/>
      <c r="BI157" s="78">
        <f t="shared" si="79"/>
        <v>25523.767660679587</v>
      </c>
      <c r="BJ157" s="79">
        <f t="shared" si="80"/>
        <v>3134389.6738079814</v>
      </c>
      <c r="BK157" s="79">
        <v>2000000</v>
      </c>
      <c r="BL157" s="143">
        <v>1500000</v>
      </c>
      <c r="BM157" s="82" t="s">
        <v>279</v>
      </c>
      <c r="BN157" s="83" t="s">
        <v>73</v>
      </c>
    </row>
    <row r="158" spans="1:66" s="112" customFormat="1" ht="25.5">
      <c r="A158" s="84">
        <f t="shared" si="87"/>
        <v>122</v>
      </c>
      <c r="B158" s="85" t="s">
        <v>280</v>
      </c>
      <c r="C158" s="86" t="s">
        <v>281</v>
      </c>
      <c r="D158" s="85" t="s">
        <v>64</v>
      </c>
      <c r="E158" s="87" t="s">
        <v>98</v>
      </c>
      <c r="F158" s="89"/>
      <c r="G158" s="89"/>
      <c r="H158" s="90">
        <v>43497</v>
      </c>
      <c r="I158" s="90">
        <v>43497</v>
      </c>
      <c r="J158" s="91">
        <v>25000000</v>
      </c>
      <c r="K158" s="92">
        <v>7.7499999999999999E-2</v>
      </c>
      <c r="L158" s="63">
        <v>7.4999999999999997E-2</v>
      </c>
      <c r="M158" s="93">
        <v>0.9</v>
      </c>
      <c r="N158" s="94">
        <v>10</v>
      </c>
      <c r="O158" s="94"/>
      <c r="P158" s="93">
        <v>12</v>
      </c>
      <c r="Q158" s="95">
        <f>J158*K158*M158*N158/P158</f>
        <v>1453125</v>
      </c>
      <c r="R158" s="94">
        <f t="shared" si="55"/>
        <v>15166401.647457974</v>
      </c>
      <c r="S158" s="95">
        <f>R158*K158*M158*N158/P158</f>
        <v>881547.09575849457</v>
      </c>
      <c r="T158" s="95">
        <f t="shared" si="56"/>
        <v>571577.90424150543</v>
      </c>
      <c r="U158" s="96">
        <v>0.606656065898319</v>
      </c>
      <c r="V158" s="94"/>
      <c r="W158" s="97"/>
      <c r="X158" s="95">
        <f t="shared" si="51"/>
        <v>15166401.647457974</v>
      </c>
      <c r="Y158" s="95">
        <f t="shared" si="51"/>
        <v>881547.09575849457</v>
      </c>
      <c r="Z158" s="98">
        <f t="shared" si="52"/>
        <v>15166401.647457974</v>
      </c>
      <c r="AA158" s="98">
        <f t="shared" si="52"/>
        <v>881547.09575849457</v>
      </c>
      <c r="AB158" s="304">
        <f>1092750+99975-AB159</f>
        <v>881547.1</v>
      </c>
      <c r="AC158" s="304"/>
      <c r="AD158" s="98">
        <f t="shared" si="58"/>
        <v>-4.2415054049342871E-3</v>
      </c>
      <c r="AE158" s="100">
        <v>-2373693.7594571561</v>
      </c>
      <c r="AF158" s="100">
        <f>AD158/K158/M158/9*P158</f>
        <v>-8.1080151109854948E-2</v>
      </c>
      <c r="AG158" s="100"/>
      <c r="AH158" s="101"/>
      <c r="AI158" s="101"/>
      <c r="AJ158" s="101"/>
      <c r="AK158" s="101"/>
      <c r="AL158" s="101"/>
      <c r="AM158" s="104">
        <f t="shared" si="53"/>
        <v>-4.2415054049342871E-3</v>
      </c>
      <c r="AN158" s="104"/>
      <c r="AO158" s="104"/>
      <c r="AP158" s="104"/>
      <c r="AQ158" s="104">
        <f t="shared" si="50"/>
        <v>-4.2415054049342871E-3</v>
      </c>
      <c r="AR158" s="104"/>
      <c r="AS158" s="104">
        <f t="shared" si="77"/>
        <v>-4.2415054049342871E-3</v>
      </c>
      <c r="AT158" s="104">
        <f t="shared" si="78"/>
        <v>0</v>
      </c>
      <c r="AU158" s="105">
        <f>AD158/K158/M158/8*P158</f>
        <v>-9.1215169998586809E-2</v>
      </c>
      <c r="AV158" s="106"/>
      <c r="AW158" s="106"/>
      <c r="AX158" s="107"/>
      <c r="AY158" s="107"/>
      <c r="AZ158" s="107"/>
      <c r="BA158" s="107"/>
      <c r="BB158" s="108">
        <f t="shared" si="54"/>
        <v>-9.1215169998586809E-2</v>
      </c>
      <c r="BC158" s="108">
        <f>AM158/K158/M158/7*P158</f>
        <v>-0.1042459085698135</v>
      </c>
      <c r="BD158" s="109"/>
      <c r="BE158" s="109"/>
      <c r="BF158" s="109"/>
      <c r="BG158" s="110">
        <f>AQ158/K158/M158/6*P158</f>
        <v>-0.12162022666478242</v>
      </c>
      <c r="BH158" s="110"/>
      <c r="BI158" s="110">
        <f t="shared" si="79"/>
        <v>-4.2415054049342871E-3</v>
      </c>
      <c r="BJ158" s="116">
        <f t="shared" si="80"/>
        <v>-0.18851135133041277</v>
      </c>
      <c r="BK158" s="116"/>
      <c r="BL158" s="79"/>
      <c r="BM158" s="111"/>
    </row>
    <row r="159" spans="1:66" ht="38.25">
      <c r="A159" s="236">
        <f t="shared" si="87"/>
        <v>123</v>
      </c>
      <c r="B159" s="237" t="s">
        <v>280</v>
      </c>
      <c r="C159" s="253" t="s">
        <v>281</v>
      </c>
      <c r="D159" s="237" t="s">
        <v>64</v>
      </c>
      <c r="E159" s="237" t="s">
        <v>98</v>
      </c>
      <c r="F159" s="237"/>
      <c r="G159" s="237"/>
      <c r="H159" s="238">
        <v>43525</v>
      </c>
      <c r="I159" s="312" t="s">
        <v>149</v>
      </c>
      <c r="J159" s="239">
        <v>10000000</v>
      </c>
      <c r="K159" s="240">
        <v>7.7499999999999999E-2</v>
      </c>
      <c r="L159" s="63">
        <v>7.4999999999999997E-2</v>
      </c>
      <c r="M159" s="241">
        <v>0.9</v>
      </c>
      <c r="N159" s="242">
        <v>9</v>
      </c>
      <c r="O159" s="242">
        <v>4</v>
      </c>
      <c r="P159" s="241">
        <v>12</v>
      </c>
      <c r="Q159" s="242">
        <f>J159*K159*M159*N159/P159</f>
        <v>523125</v>
      </c>
      <c r="R159" s="242">
        <f t="shared" si="55"/>
        <v>6066560.6589831896</v>
      </c>
      <c r="S159" s="242">
        <f>R159*K159*M159*N159/P159</f>
        <v>317356.95447305811</v>
      </c>
      <c r="T159" s="242">
        <f t="shared" si="56"/>
        <v>205768.04552694189</v>
      </c>
      <c r="U159" s="243">
        <v>0.606656065898319</v>
      </c>
      <c r="V159" s="242"/>
      <c r="W159" s="241"/>
      <c r="X159" s="242">
        <f t="shared" si="51"/>
        <v>6066560.6589831896</v>
      </c>
      <c r="Y159" s="242">
        <f t="shared" si="51"/>
        <v>317356.95447305811</v>
      </c>
      <c r="Z159" s="244">
        <f t="shared" si="52"/>
        <v>6066560.6589831896</v>
      </c>
      <c r="AA159" s="244">
        <f t="shared" si="52"/>
        <v>317356.95447305811</v>
      </c>
      <c r="AB159" s="307">
        <v>311177.90000000002</v>
      </c>
      <c r="AC159" s="307"/>
      <c r="AD159" s="244">
        <f t="shared" si="58"/>
        <v>6179.0544730580878</v>
      </c>
      <c r="AE159" s="246">
        <v>0</v>
      </c>
      <c r="AF159" s="246">
        <f>AD159/K159/M159/9*P159</f>
        <v>118118.12612775314</v>
      </c>
      <c r="AG159" s="246"/>
      <c r="AH159" s="247"/>
      <c r="AI159" s="247"/>
      <c r="AJ159" s="70"/>
      <c r="AK159" s="70"/>
      <c r="AL159" s="71"/>
      <c r="AM159" s="69">
        <f t="shared" si="53"/>
        <v>6179.0544730580878</v>
      </c>
      <c r="AN159" s="69"/>
      <c r="AO159" s="69"/>
      <c r="AP159" s="69"/>
      <c r="AQ159" s="69">
        <f t="shared" si="50"/>
        <v>6179.0544730580878</v>
      </c>
      <c r="AR159" s="69"/>
      <c r="AS159" s="69">
        <f t="shared" si="77"/>
        <v>6179.0544730580878</v>
      </c>
      <c r="AT159" s="69">
        <f t="shared" si="78"/>
        <v>6179.0544000000009</v>
      </c>
      <c r="AU159" s="248">
        <f>AD159/K159/M159/8*P159</f>
        <v>132882.89189372229</v>
      </c>
      <c r="AV159" s="248"/>
      <c r="AW159" s="248"/>
      <c r="AX159" s="249"/>
      <c r="AY159" s="74"/>
      <c r="AZ159" s="74"/>
      <c r="BA159" s="75"/>
      <c r="BB159" s="76">
        <f t="shared" si="54"/>
        <v>132882.89189372229</v>
      </c>
      <c r="BC159" s="76">
        <f>AM159/K159/M159/7*P159</f>
        <v>151866.16216425406</v>
      </c>
      <c r="BD159" s="251"/>
      <c r="BE159" s="251"/>
      <c r="BF159" s="251"/>
      <c r="BG159" s="78">
        <f>AQ159/K159/M159/6*P159</f>
        <v>177177.18919162973</v>
      </c>
      <c r="BH159" s="78"/>
      <c r="BI159" s="78">
        <f t="shared" si="79"/>
        <v>7.3058086854871362E-5</v>
      </c>
      <c r="BJ159" s="79">
        <f t="shared" si="80"/>
        <v>274624.64324702614</v>
      </c>
      <c r="BK159" s="79">
        <v>274624.64000000001</v>
      </c>
      <c r="BL159" s="79">
        <v>13000000</v>
      </c>
      <c r="BM159" s="111" t="s">
        <v>282</v>
      </c>
      <c r="BN159" s="82" t="s">
        <v>76</v>
      </c>
    </row>
    <row r="160" spans="1:66" hidden="1">
      <c r="A160" s="236"/>
      <c r="B160" s="237" t="s">
        <v>280</v>
      </c>
      <c r="C160" s="253" t="s">
        <v>281</v>
      </c>
      <c r="D160" s="237"/>
      <c r="E160" s="237"/>
      <c r="F160" s="237"/>
      <c r="G160" s="237"/>
      <c r="H160" s="238"/>
      <c r="I160" s="312"/>
      <c r="J160" s="239"/>
      <c r="K160" s="240"/>
      <c r="L160" s="63">
        <v>7.4999999999999997E-2</v>
      </c>
      <c r="M160" s="241">
        <v>0.9</v>
      </c>
      <c r="N160" s="242">
        <v>9</v>
      </c>
      <c r="O160" s="242">
        <v>4</v>
      </c>
      <c r="P160" s="241">
        <v>12</v>
      </c>
      <c r="Q160" s="242"/>
      <c r="R160" s="242"/>
      <c r="S160" s="242"/>
      <c r="T160" s="242"/>
      <c r="U160" s="243"/>
      <c r="V160" s="242"/>
      <c r="W160" s="241"/>
      <c r="X160" s="242"/>
      <c r="Y160" s="242"/>
      <c r="Z160" s="244"/>
      <c r="AA160" s="244"/>
      <c r="AB160" s="307"/>
      <c r="AC160" s="307"/>
      <c r="AD160" s="244"/>
      <c r="AE160" s="246"/>
      <c r="AF160" s="246"/>
      <c r="AG160" s="246"/>
      <c r="AH160" s="247"/>
      <c r="AI160" s="247"/>
      <c r="AJ160" s="70"/>
      <c r="AK160" s="70"/>
      <c r="AL160" s="71"/>
      <c r="AM160" s="69"/>
      <c r="AN160" s="69"/>
      <c r="AO160" s="69"/>
      <c r="AP160" s="69"/>
      <c r="AQ160" s="69"/>
      <c r="AR160" s="69"/>
      <c r="AS160" s="69">
        <f t="shared" si="77"/>
        <v>0</v>
      </c>
      <c r="AT160" s="69">
        <f t="shared" si="78"/>
        <v>0</v>
      </c>
      <c r="AU160" s="248"/>
      <c r="AV160" s="248"/>
      <c r="AW160" s="248"/>
      <c r="AX160" s="249"/>
      <c r="AY160" s="74"/>
      <c r="AZ160" s="74"/>
      <c r="BA160" s="75"/>
      <c r="BB160" s="76"/>
      <c r="BC160" s="76"/>
      <c r="BD160" s="251"/>
      <c r="BE160" s="251"/>
      <c r="BF160" s="251"/>
      <c r="BG160" s="78"/>
      <c r="BH160" s="78"/>
      <c r="BI160" s="78">
        <f t="shared" si="79"/>
        <v>0</v>
      </c>
      <c r="BJ160" s="79">
        <f t="shared" si="80"/>
        <v>0</v>
      </c>
      <c r="BK160" s="79"/>
      <c r="BL160" s="79">
        <v>27000000</v>
      </c>
      <c r="BM160" s="144" t="s">
        <v>99</v>
      </c>
      <c r="BN160" s="144" t="s">
        <v>186</v>
      </c>
    </row>
    <row r="161" spans="1:66" s="112" customFormat="1" ht="25.5">
      <c r="A161" s="84">
        <f>A159+1</f>
        <v>124</v>
      </c>
      <c r="B161" s="85" t="s">
        <v>283</v>
      </c>
      <c r="C161" s="86" t="s">
        <v>284</v>
      </c>
      <c r="D161" s="85" t="s">
        <v>64</v>
      </c>
      <c r="E161" s="87" t="s">
        <v>98</v>
      </c>
      <c r="F161" s="89"/>
      <c r="G161" s="89"/>
      <c r="H161" s="90">
        <v>43525</v>
      </c>
      <c r="I161" s="90">
        <v>43525</v>
      </c>
      <c r="J161" s="91">
        <v>9000000</v>
      </c>
      <c r="K161" s="92">
        <v>7.7499999999999999E-2</v>
      </c>
      <c r="L161" s="63">
        <v>7.4999999999999997E-2</v>
      </c>
      <c r="M161" s="93">
        <v>0.9</v>
      </c>
      <c r="N161" s="94">
        <v>9</v>
      </c>
      <c r="O161" s="94"/>
      <c r="P161" s="93">
        <v>12</v>
      </c>
      <c r="Q161" s="95">
        <f>J161*K161*M161*N161/P161</f>
        <v>470812.5</v>
      </c>
      <c r="R161" s="94">
        <f t="shared" si="55"/>
        <v>5459904.5930848708</v>
      </c>
      <c r="S161" s="95">
        <f>R161*K161*M161*N161/P161</f>
        <v>285621.25902575225</v>
      </c>
      <c r="T161" s="95">
        <f t="shared" si="56"/>
        <v>185191.24097424775</v>
      </c>
      <c r="U161" s="96">
        <v>0.606656065898319</v>
      </c>
      <c r="V161" s="94"/>
      <c r="W161" s="97"/>
      <c r="X161" s="95">
        <f t="shared" si="51"/>
        <v>5459904.5930848708</v>
      </c>
      <c r="Y161" s="95">
        <f t="shared" si="51"/>
        <v>285621.25902575225</v>
      </c>
      <c r="Z161" s="98">
        <f t="shared" si="52"/>
        <v>5459904.5930848708</v>
      </c>
      <c r="AA161" s="98">
        <f t="shared" si="52"/>
        <v>285621.25902575225</v>
      </c>
      <c r="AB161" s="304">
        <f>380718.75-AB162</f>
        <v>285621.26</v>
      </c>
      <c r="AC161" s="304"/>
      <c r="AD161" s="98">
        <f t="shared" si="58"/>
        <v>-9.7424775594845414E-4</v>
      </c>
      <c r="AE161" s="100">
        <v>1885.5117018455639</v>
      </c>
      <c r="AF161" s="100">
        <f>AD161/K161/M161/9*P161</f>
        <v>-1.8623613016935804E-2</v>
      </c>
      <c r="AG161" s="100"/>
      <c r="AH161" s="101"/>
      <c r="AI161" s="101"/>
      <c r="AJ161" s="101"/>
      <c r="AK161" s="101"/>
      <c r="AL161" s="101"/>
      <c r="AM161" s="104">
        <f t="shared" si="53"/>
        <v>-9.7424775594845414E-4</v>
      </c>
      <c r="AN161" s="104"/>
      <c r="AO161" s="104"/>
      <c r="AP161" s="104"/>
      <c r="AQ161" s="104">
        <f t="shared" si="50"/>
        <v>-9.7424775594845414E-4</v>
      </c>
      <c r="AR161" s="104"/>
      <c r="AS161" s="104">
        <f t="shared" si="77"/>
        <v>-9.7424775594845414E-4</v>
      </c>
      <c r="AT161" s="104">
        <f t="shared" si="78"/>
        <v>0</v>
      </c>
      <c r="AU161" s="105">
        <f>AD161/K161/M161/8*P161</f>
        <v>-2.0951564644052775E-2</v>
      </c>
      <c r="AV161" s="106"/>
      <c r="AW161" s="106"/>
      <c r="AX161" s="107"/>
      <c r="AY161" s="107"/>
      <c r="AZ161" s="107"/>
      <c r="BA161" s="107"/>
      <c r="BB161" s="108">
        <f t="shared" si="54"/>
        <v>-2.0951564644052775E-2</v>
      </c>
      <c r="BC161" s="108">
        <f>AM161/K161/M161/7*P161</f>
        <v>-2.3944645307488889E-2</v>
      </c>
      <c r="BD161" s="109"/>
      <c r="BE161" s="109"/>
      <c r="BF161" s="109"/>
      <c r="BG161" s="110">
        <f>AQ161/K161/M161/6*P161</f>
        <v>-2.7935419525403703E-2</v>
      </c>
      <c r="BH161" s="110"/>
      <c r="BI161" s="110">
        <f t="shared" si="79"/>
        <v>-9.7424775594845414E-4</v>
      </c>
      <c r="BJ161" s="116">
        <f t="shared" si="80"/>
        <v>-4.3299900264375746E-2</v>
      </c>
      <c r="BK161" s="116"/>
      <c r="BL161" s="79"/>
      <c r="BM161" s="111"/>
    </row>
    <row r="162" spans="1:66" s="112" customFormat="1" ht="25.5">
      <c r="A162" s="84">
        <f t="shared" si="87"/>
        <v>125</v>
      </c>
      <c r="B162" s="85" t="s">
        <v>283</v>
      </c>
      <c r="C162" s="86" t="s">
        <v>284</v>
      </c>
      <c r="D162" s="85" t="s">
        <v>120</v>
      </c>
      <c r="E162" s="87" t="s">
        <v>98</v>
      </c>
      <c r="F162" s="89"/>
      <c r="G162" s="89"/>
      <c r="H162" s="90">
        <v>43525</v>
      </c>
      <c r="I162" s="90">
        <v>43525</v>
      </c>
      <c r="J162" s="91">
        <v>3000000</v>
      </c>
      <c r="K162" s="92">
        <v>7.7499999999999999E-2</v>
      </c>
      <c r="L162" s="63">
        <v>7.4999999999999997E-2</v>
      </c>
      <c r="M162" s="93">
        <v>0.9</v>
      </c>
      <c r="N162" s="94">
        <v>9</v>
      </c>
      <c r="O162" s="94"/>
      <c r="P162" s="93">
        <v>12</v>
      </c>
      <c r="Q162" s="95">
        <f>J162*K162*M162*N162/P162</f>
        <v>156937.5</v>
      </c>
      <c r="R162" s="94">
        <f t="shared" si="55"/>
        <v>1819968.197694957</v>
      </c>
      <c r="S162" s="95">
        <f>R162*K162*M162*N162/P162</f>
        <v>95207.086341917442</v>
      </c>
      <c r="T162" s="95">
        <f t="shared" si="56"/>
        <v>61730.413658082558</v>
      </c>
      <c r="U162" s="96">
        <v>0.606656065898319</v>
      </c>
      <c r="V162" s="94"/>
      <c r="W162" s="97"/>
      <c r="X162" s="95">
        <f t="shared" si="51"/>
        <v>1819968.197694957</v>
      </c>
      <c r="Y162" s="95">
        <f t="shared" si="51"/>
        <v>95207.086341917442</v>
      </c>
      <c r="Z162" s="98">
        <f t="shared" si="52"/>
        <v>1819968.197694957</v>
      </c>
      <c r="AA162" s="98">
        <f t="shared" si="52"/>
        <v>95207.086341917442</v>
      </c>
      <c r="AB162" s="115">
        <v>95097.49</v>
      </c>
      <c r="AC162" s="115"/>
      <c r="AD162" s="98">
        <f t="shared" si="58"/>
        <v>109.5963419174368</v>
      </c>
      <c r="AE162" s="100">
        <v>0</v>
      </c>
      <c r="AF162" s="100">
        <f>AD162/K162/M162/9*P162</f>
        <v>2095.0316256618744</v>
      </c>
      <c r="AG162" s="100"/>
      <c r="AH162" s="101"/>
      <c r="AI162" s="101"/>
      <c r="AJ162" s="101"/>
      <c r="AK162" s="101"/>
      <c r="AL162" s="101"/>
      <c r="AM162" s="104">
        <f t="shared" si="53"/>
        <v>109.5963419174368</v>
      </c>
      <c r="AN162" s="104"/>
      <c r="AO162" s="104"/>
      <c r="AP162" s="104"/>
      <c r="AQ162" s="104">
        <f t="shared" si="50"/>
        <v>109.5963419174368</v>
      </c>
      <c r="AR162" s="104"/>
      <c r="AS162" s="104">
        <f t="shared" si="77"/>
        <v>109.5963419174368</v>
      </c>
      <c r="AT162" s="104">
        <f t="shared" si="78"/>
        <v>0</v>
      </c>
      <c r="AU162" s="181">
        <f>AD162/K162/M162/8*P162</f>
        <v>2356.9105788696088</v>
      </c>
      <c r="AV162" s="106"/>
      <c r="AW162" s="106"/>
      <c r="AX162" s="107"/>
      <c r="AY162" s="107"/>
      <c r="AZ162" s="107"/>
      <c r="BA162" s="107"/>
      <c r="BB162" s="108">
        <f t="shared" si="54"/>
        <v>2356.9105788696088</v>
      </c>
      <c r="BC162" s="108">
        <f>AM162/K162/M162/7*P162</f>
        <v>2693.6120901366958</v>
      </c>
      <c r="BD162" s="109"/>
      <c r="BE162" s="109"/>
      <c r="BF162" s="109"/>
      <c r="BG162" s="110">
        <f>AQ162/K162/M162/6*P162</f>
        <v>3142.5474384928116</v>
      </c>
      <c r="BH162" s="110"/>
      <c r="BI162" s="110">
        <f t="shared" si="79"/>
        <v>109.5963419174368</v>
      </c>
      <c r="BJ162" s="116">
        <f t="shared" si="80"/>
        <v>4870.9485296638577</v>
      </c>
      <c r="BK162" s="116"/>
      <c r="BL162" s="79"/>
      <c r="BM162" s="111"/>
    </row>
    <row r="163" spans="1:66" s="170" customFormat="1" ht="38.25" hidden="1">
      <c r="A163" s="150"/>
      <c r="B163" s="151" t="s">
        <v>283</v>
      </c>
      <c r="C163" s="152" t="s">
        <v>284</v>
      </c>
      <c r="D163" s="153" t="s">
        <v>285</v>
      </c>
      <c r="E163" s="127"/>
      <c r="F163" s="153"/>
      <c r="G163" s="153"/>
      <c r="H163" s="155"/>
      <c r="I163" s="155"/>
      <c r="J163" s="156"/>
      <c r="K163" s="157"/>
      <c r="L163" s="63">
        <v>7.4999999999999997E-2</v>
      </c>
      <c r="M163" s="93">
        <v>0.9</v>
      </c>
      <c r="N163" s="94">
        <v>9</v>
      </c>
      <c r="O163" s="94">
        <v>4</v>
      </c>
      <c r="P163" s="93">
        <v>12</v>
      </c>
      <c r="Q163" s="158"/>
      <c r="R163" s="158"/>
      <c r="S163" s="158"/>
      <c r="T163" s="158"/>
      <c r="U163" s="159"/>
      <c r="V163" s="158"/>
      <c r="W163" s="160"/>
      <c r="X163" s="158"/>
      <c r="Y163" s="158"/>
      <c r="Z163" s="161"/>
      <c r="AA163" s="161"/>
      <c r="AB163" s="162"/>
      <c r="AC163" s="162"/>
      <c r="AD163" s="161"/>
      <c r="AE163" s="163"/>
      <c r="AF163" s="163"/>
      <c r="AG163" s="163"/>
      <c r="AH163" s="102"/>
      <c r="AI163" s="102"/>
      <c r="AJ163" s="102"/>
      <c r="AK163" s="102"/>
      <c r="AL163" s="102"/>
      <c r="AM163" s="70"/>
      <c r="AN163" s="70"/>
      <c r="AO163" s="70"/>
      <c r="AP163" s="70"/>
      <c r="AQ163" s="70"/>
      <c r="AR163" s="70"/>
      <c r="AS163" s="69">
        <f t="shared" si="77"/>
        <v>0</v>
      </c>
      <c r="AT163" s="69">
        <f t="shared" si="78"/>
        <v>0</v>
      </c>
      <c r="AU163" s="136"/>
      <c r="AV163" s="165"/>
      <c r="AW163" s="165"/>
      <c r="AX163" s="166"/>
      <c r="AY163" s="166"/>
      <c r="AZ163" s="166"/>
      <c r="BA163" s="166"/>
      <c r="BB163" s="137"/>
      <c r="BC163" s="137"/>
      <c r="BD163" s="167"/>
      <c r="BE163" s="167"/>
      <c r="BF163" s="167"/>
      <c r="BG163" s="168"/>
      <c r="BH163" s="168"/>
      <c r="BI163" s="78">
        <f t="shared" si="79"/>
        <v>0</v>
      </c>
      <c r="BJ163" s="79">
        <f t="shared" si="80"/>
        <v>0</v>
      </c>
      <c r="BK163" s="79"/>
      <c r="BL163" s="169">
        <v>9950000</v>
      </c>
      <c r="BM163" s="186" t="s">
        <v>282</v>
      </c>
      <c r="BN163" s="83" t="s">
        <v>186</v>
      </c>
    </row>
    <row r="164" spans="1:66" s="170" customFormat="1" ht="38.25" hidden="1">
      <c r="A164" s="150"/>
      <c r="B164" s="151" t="s">
        <v>283</v>
      </c>
      <c r="C164" s="152" t="s">
        <v>284</v>
      </c>
      <c r="D164" s="153"/>
      <c r="E164" s="127"/>
      <c r="F164" s="153"/>
      <c r="G164" s="153"/>
      <c r="H164" s="155"/>
      <c r="I164" s="155"/>
      <c r="J164" s="156"/>
      <c r="K164" s="157"/>
      <c r="L164" s="63">
        <v>7.4999999999999997E-2</v>
      </c>
      <c r="M164" s="64">
        <v>0.9</v>
      </c>
      <c r="N164" s="65">
        <v>9</v>
      </c>
      <c r="O164" s="65">
        <v>4</v>
      </c>
      <c r="P164" s="64">
        <v>12</v>
      </c>
      <c r="Q164" s="158"/>
      <c r="R164" s="158"/>
      <c r="S164" s="158"/>
      <c r="T164" s="158"/>
      <c r="U164" s="159"/>
      <c r="V164" s="158"/>
      <c r="W164" s="160"/>
      <c r="X164" s="158"/>
      <c r="Y164" s="158"/>
      <c r="Z164" s="161"/>
      <c r="AA164" s="161"/>
      <c r="AB164" s="162"/>
      <c r="AC164" s="162"/>
      <c r="AD164" s="161"/>
      <c r="AE164" s="163"/>
      <c r="AF164" s="163"/>
      <c r="AG164" s="163"/>
      <c r="AH164" s="102"/>
      <c r="AI164" s="102"/>
      <c r="AJ164" s="102"/>
      <c r="AK164" s="102"/>
      <c r="AL164" s="102"/>
      <c r="AM164" s="70"/>
      <c r="AN164" s="70"/>
      <c r="AO164" s="70"/>
      <c r="AP164" s="70"/>
      <c r="AQ164" s="70"/>
      <c r="AR164" s="70"/>
      <c r="AS164" s="69">
        <f t="shared" si="77"/>
        <v>0</v>
      </c>
      <c r="AT164" s="69">
        <f t="shared" si="78"/>
        <v>0</v>
      </c>
      <c r="AU164" s="136"/>
      <c r="AV164" s="165"/>
      <c r="AW164" s="165"/>
      <c r="AX164" s="166"/>
      <c r="AY164" s="166"/>
      <c r="AZ164" s="166"/>
      <c r="BA164" s="166"/>
      <c r="BB164" s="137"/>
      <c r="BC164" s="137"/>
      <c r="BD164" s="167"/>
      <c r="BE164" s="167"/>
      <c r="BF164" s="167"/>
      <c r="BG164" s="168"/>
      <c r="BH164" s="168"/>
      <c r="BI164" s="78">
        <f t="shared" si="79"/>
        <v>0</v>
      </c>
      <c r="BJ164" s="79">
        <f t="shared" si="80"/>
        <v>0</v>
      </c>
      <c r="BK164" s="79"/>
      <c r="BL164" s="169">
        <v>8300000</v>
      </c>
      <c r="BM164" s="186" t="s">
        <v>282</v>
      </c>
      <c r="BN164" s="83" t="s">
        <v>76</v>
      </c>
    </row>
    <row r="165" spans="1:66" s="170" customFormat="1" ht="25.5" hidden="1">
      <c r="A165" s="150"/>
      <c r="B165" s="153" t="s">
        <v>286</v>
      </c>
      <c r="C165" s="291" t="s">
        <v>287</v>
      </c>
      <c r="D165" s="153" t="s">
        <v>64</v>
      </c>
      <c r="E165" s="127"/>
      <c r="F165" s="153"/>
      <c r="G165" s="153"/>
      <c r="H165" s="155"/>
      <c r="I165" s="155"/>
      <c r="J165" s="156"/>
      <c r="K165" s="157"/>
      <c r="L165" s="63">
        <v>7.4999999999999997E-2</v>
      </c>
      <c r="M165" s="93">
        <v>0.9</v>
      </c>
      <c r="N165" s="94">
        <v>9</v>
      </c>
      <c r="O165" s="94">
        <v>4</v>
      </c>
      <c r="P165" s="93">
        <v>12</v>
      </c>
      <c r="Q165" s="158"/>
      <c r="R165" s="158">
        <f t="shared" si="55"/>
        <v>0</v>
      </c>
      <c r="S165" s="158"/>
      <c r="T165" s="158"/>
      <c r="U165" s="159"/>
      <c r="V165" s="158"/>
      <c r="W165" s="160"/>
      <c r="X165" s="158"/>
      <c r="Y165" s="158"/>
      <c r="Z165" s="161">
        <f t="shared" si="52"/>
        <v>0</v>
      </c>
      <c r="AA165" s="161"/>
      <c r="AB165" s="162"/>
      <c r="AC165" s="162"/>
      <c r="AD165" s="161"/>
      <c r="AE165" s="163"/>
      <c r="AF165" s="163"/>
      <c r="AG165" s="163"/>
      <c r="AH165" s="102"/>
      <c r="AI165" s="102"/>
      <c r="AJ165" s="102"/>
      <c r="AK165" s="102"/>
      <c r="AL165" s="102"/>
      <c r="AM165" s="70"/>
      <c r="AN165" s="70"/>
      <c r="AO165" s="70"/>
      <c r="AP165" s="70"/>
      <c r="AQ165" s="70"/>
      <c r="AR165" s="70"/>
      <c r="AS165" s="69">
        <f t="shared" si="77"/>
        <v>0</v>
      </c>
      <c r="AT165" s="69">
        <f t="shared" si="78"/>
        <v>0</v>
      </c>
      <c r="AU165" s="136"/>
      <c r="AV165" s="165"/>
      <c r="AW165" s="165"/>
      <c r="AX165" s="166"/>
      <c r="AY165" s="166"/>
      <c r="AZ165" s="166"/>
      <c r="BA165" s="166"/>
      <c r="BB165" s="137"/>
      <c r="BC165" s="137"/>
      <c r="BD165" s="167"/>
      <c r="BE165" s="167"/>
      <c r="BF165" s="167"/>
      <c r="BG165" s="168"/>
      <c r="BH165" s="168"/>
      <c r="BI165" s="78">
        <f t="shared" si="79"/>
        <v>0</v>
      </c>
      <c r="BJ165" s="79">
        <f t="shared" si="80"/>
        <v>0</v>
      </c>
      <c r="BK165" s="79"/>
      <c r="BL165" s="143">
        <v>2727000</v>
      </c>
      <c r="BM165" s="186" t="s">
        <v>72</v>
      </c>
      <c r="BN165" s="83" t="s">
        <v>73</v>
      </c>
    </row>
    <row r="166" spans="1:66" s="81" customFormat="1" ht="25.5">
      <c r="A166" s="56">
        <f>A162+1</f>
        <v>126</v>
      </c>
      <c r="B166" s="57" t="s">
        <v>288</v>
      </c>
      <c r="C166" s="58" t="s">
        <v>289</v>
      </c>
      <c r="D166" s="57" t="s">
        <v>64</v>
      </c>
      <c r="E166" s="57" t="s">
        <v>65</v>
      </c>
      <c r="F166" s="57"/>
      <c r="G166" s="57"/>
      <c r="H166" s="60">
        <v>43586</v>
      </c>
      <c r="I166" s="60">
        <v>43586</v>
      </c>
      <c r="J166" s="62">
        <v>1000000</v>
      </c>
      <c r="K166" s="63">
        <v>7.7499999999999999E-2</v>
      </c>
      <c r="L166" s="63">
        <v>7.4999999999999997E-2</v>
      </c>
      <c r="M166" s="64">
        <v>0.9</v>
      </c>
      <c r="N166" s="65">
        <v>7</v>
      </c>
      <c r="O166" s="65">
        <v>2</v>
      </c>
      <c r="P166" s="64">
        <v>12</v>
      </c>
      <c r="Q166" s="65">
        <f>J166*K166*M166*N166/P166</f>
        <v>40687.5</v>
      </c>
      <c r="R166" s="65">
        <f t="shared" si="55"/>
        <v>606656.06589831901</v>
      </c>
      <c r="S166" s="65">
        <f>R166*K166*M166*N166/P166</f>
        <v>24683.318681237855</v>
      </c>
      <c r="T166" s="65">
        <f t="shared" si="56"/>
        <v>16004.181318762145</v>
      </c>
      <c r="U166" s="66">
        <v>0.606656065898319</v>
      </c>
      <c r="V166" s="65"/>
      <c r="W166" s="64"/>
      <c r="X166" s="65">
        <f t="shared" si="51"/>
        <v>606656.06589831901</v>
      </c>
      <c r="Y166" s="65">
        <f t="shared" si="51"/>
        <v>24683.318681237855</v>
      </c>
      <c r="Z166" s="67">
        <f t="shared" si="52"/>
        <v>606656.06589831901</v>
      </c>
      <c r="AA166" s="67">
        <f t="shared" si="52"/>
        <v>24683.318681237855</v>
      </c>
      <c r="AB166" s="67"/>
      <c r="AC166" s="67"/>
      <c r="AD166" s="67">
        <f t="shared" si="58"/>
        <v>24683.318681237855</v>
      </c>
      <c r="AE166" s="68">
        <v>424659.24612882326</v>
      </c>
      <c r="AF166" s="68">
        <f>AD166/K166/M166/9*P166</f>
        <v>471843.60680980363</v>
      </c>
      <c r="AG166" s="68"/>
      <c r="AH166" s="69"/>
      <c r="AI166" s="69"/>
      <c r="AJ166" s="70"/>
      <c r="AK166" s="70"/>
      <c r="AL166" s="71"/>
      <c r="AM166" s="69">
        <f t="shared" si="53"/>
        <v>24683.318681237855</v>
      </c>
      <c r="AN166" s="69"/>
      <c r="AO166" s="69"/>
      <c r="AP166" s="69"/>
      <c r="AQ166" s="69">
        <f t="shared" si="50"/>
        <v>24683.318681237855</v>
      </c>
      <c r="AR166" s="69"/>
      <c r="AS166" s="69">
        <f t="shared" si="77"/>
        <v>24683.318681237855</v>
      </c>
      <c r="AT166" s="69">
        <f t="shared" si="78"/>
        <v>22500</v>
      </c>
      <c r="AU166" s="72">
        <f>AD166/K166/M166/8*P166</f>
        <v>530824.05766102916</v>
      </c>
      <c r="AV166" s="72"/>
      <c r="AW166" s="72"/>
      <c r="AX166" s="73"/>
      <c r="AY166" s="74"/>
      <c r="AZ166" s="74"/>
      <c r="BA166" s="75"/>
      <c r="BB166" s="76">
        <f t="shared" si="54"/>
        <v>530824.05766102916</v>
      </c>
      <c r="BC166" s="76">
        <f>AM166/K166/M166/7*P166</f>
        <v>606656.06589831901</v>
      </c>
      <c r="BD166" s="77"/>
      <c r="BE166" s="77"/>
      <c r="BF166" s="77"/>
      <c r="BG166" s="78">
        <f>AQ166/K166/M166/6*P166</f>
        <v>707765.41021470551</v>
      </c>
      <c r="BH166" s="78"/>
      <c r="BI166" s="78">
        <f t="shared" si="79"/>
        <v>2183.3186812378553</v>
      </c>
      <c r="BJ166" s="79">
        <f t="shared" si="80"/>
        <v>1097036.3858327938</v>
      </c>
      <c r="BK166" s="79">
        <v>1000000</v>
      </c>
      <c r="BL166" s="79">
        <v>1000000</v>
      </c>
      <c r="BM166" s="190" t="s">
        <v>290</v>
      </c>
      <c r="BN166" s="81" t="s">
        <v>64</v>
      </c>
    </row>
    <row r="167" spans="1:66" s="81" customFormat="1" ht="25.5">
      <c r="A167" s="56">
        <f t="shared" si="87"/>
        <v>127</v>
      </c>
      <c r="B167" s="57" t="s">
        <v>291</v>
      </c>
      <c r="C167" s="58" t="s">
        <v>292</v>
      </c>
      <c r="D167" s="57" t="s">
        <v>64</v>
      </c>
      <c r="E167" s="57" t="s">
        <v>65</v>
      </c>
      <c r="F167" s="57"/>
      <c r="G167" s="57"/>
      <c r="H167" s="60">
        <v>43586</v>
      </c>
      <c r="I167" s="60">
        <v>43586</v>
      </c>
      <c r="J167" s="62">
        <v>1000000</v>
      </c>
      <c r="K167" s="63">
        <v>7.7499999999999999E-2</v>
      </c>
      <c r="L167" s="63">
        <v>7.4999999999999997E-2</v>
      </c>
      <c r="M167" s="64">
        <v>0.9</v>
      </c>
      <c r="N167" s="65">
        <v>7</v>
      </c>
      <c r="O167" s="65">
        <v>3</v>
      </c>
      <c r="P167" s="64">
        <v>12</v>
      </c>
      <c r="Q167" s="65">
        <f>J167*K167*M167*N167/P167</f>
        <v>40687.5</v>
      </c>
      <c r="R167" s="65">
        <f t="shared" si="55"/>
        <v>606656.06589831901</v>
      </c>
      <c r="S167" s="65">
        <f>R167*K167*M167*N167/P167</f>
        <v>24683.318681237855</v>
      </c>
      <c r="T167" s="65">
        <f t="shared" si="56"/>
        <v>16004.181318762145</v>
      </c>
      <c r="U167" s="66">
        <v>0.606656065898319</v>
      </c>
      <c r="V167" s="65"/>
      <c r="W167" s="64"/>
      <c r="X167" s="65">
        <f t="shared" si="51"/>
        <v>606656.06589831901</v>
      </c>
      <c r="Y167" s="65">
        <f t="shared" si="51"/>
        <v>24683.318681237855</v>
      </c>
      <c r="Z167" s="67">
        <f t="shared" si="52"/>
        <v>606656.06589831901</v>
      </c>
      <c r="AA167" s="67">
        <f t="shared" si="52"/>
        <v>24683.318681237855</v>
      </c>
      <c r="AB167" s="67"/>
      <c r="AC167" s="67"/>
      <c r="AD167" s="67">
        <f t="shared" si="58"/>
        <v>24683.318681237855</v>
      </c>
      <c r="AE167" s="68">
        <v>424659.24612882326</v>
      </c>
      <c r="AF167" s="68">
        <f>AD167/K167/M167/9*P167</f>
        <v>471843.60680980363</v>
      </c>
      <c r="AG167" s="68"/>
      <c r="AH167" s="69"/>
      <c r="AI167" s="69"/>
      <c r="AJ167" s="70"/>
      <c r="AK167" s="70"/>
      <c r="AL167" s="71"/>
      <c r="AM167" s="69">
        <f t="shared" si="53"/>
        <v>24683.318681237855</v>
      </c>
      <c r="AN167" s="69"/>
      <c r="AO167" s="69"/>
      <c r="AP167" s="69"/>
      <c r="AQ167" s="69">
        <f t="shared" si="50"/>
        <v>24683.318681237855</v>
      </c>
      <c r="AR167" s="69"/>
      <c r="AS167" s="69">
        <f t="shared" si="77"/>
        <v>24683.318681237855</v>
      </c>
      <c r="AT167" s="69">
        <f t="shared" si="78"/>
        <v>22500</v>
      </c>
      <c r="AU167" s="72">
        <f>AD167/K167/M167/8*P167</f>
        <v>530824.05766102916</v>
      </c>
      <c r="AV167" s="72"/>
      <c r="AW167" s="72"/>
      <c r="AX167" s="73"/>
      <c r="AY167" s="74"/>
      <c r="AZ167" s="74"/>
      <c r="BA167" s="75"/>
      <c r="BB167" s="76">
        <f t="shared" si="54"/>
        <v>530824.05766102916</v>
      </c>
      <c r="BC167" s="76">
        <f>AM167/K167/M167/7*P167</f>
        <v>606656.06589831901</v>
      </c>
      <c r="BD167" s="77"/>
      <c r="BE167" s="77"/>
      <c r="BF167" s="77"/>
      <c r="BG167" s="78">
        <f>AQ167/K167/M167/6*P167</f>
        <v>707765.41021470551</v>
      </c>
      <c r="BH167" s="78"/>
      <c r="BI167" s="78">
        <f t="shared" si="79"/>
        <v>2183.3186812378553</v>
      </c>
      <c r="BJ167" s="79">
        <f t="shared" si="80"/>
        <v>1097036.3858327938</v>
      </c>
      <c r="BK167" s="79">
        <v>1000000</v>
      </c>
      <c r="BL167" s="79">
        <v>1000000</v>
      </c>
      <c r="BM167" s="190" t="s">
        <v>290</v>
      </c>
      <c r="BN167" s="81" t="s">
        <v>64</v>
      </c>
    </row>
    <row r="168" spans="1:66" s="112" customFormat="1" ht="25.5">
      <c r="A168" s="84">
        <f t="shared" si="87"/>
        <v>128</v>
      </c>
      <c r="B168" s="85" t="s">
        <v>293</v>
      </c>
      <c r="C168" s="86" t="s">
        <v>294</v>
      </c>
      <c r="D168" s="85" t="s">
        <v>97</v>
      </c>
      <c r="E168" s="87"/>
      <c r="F168" s="89"/>
      <c r="G168" s="89"/>
      <c r="H168" s="90">
        <v>43497</v>
      </c>
      <c r="I168" s="90">
        <v>43497</v>
      </c>
      <c r="J168" s="91">
        <v>4000000</v>
      </c>
      <c r="K168" s="92">
        <v>7.7499999999999999E-2</v>
      </c>
      <c r="L168" s="63">
        <v>7.4999999999999997E-2</v>
      </c>
      <c r="M168" s="93">
        <v>0.9</v>
      </c>
      <c r="N168" s="94">
        <v>10</v>
      </c>
      <c r="O168" s="94"/>
      <c r="P168" s="93">
        <v>12</v>
      </c>
      <c r="Q168" s="95">
        <f>J168*K168*M168*N168/P168</f>
        <v>232500</v>
      </c>
      <c r="R168" s="94">
        <f t="shared" si="55"/>
        <v>2426624.263593276</v>
      </c>
      <c r="S168" s="95">
        <f>R168*K168*M168*N168/P168</f>
        <v>141047.53532135917</v>
      </c>
      <c r="T168" s="95">
        <f t="shared" si="56"/>
        <v>91452.464678640827</v>
      </c>
      <c r="U168" s="96">
        <v>0.606656065898319</v>
      </c>
      <c r="V168" s="254">
        <v>3000000</v>
      </c>
      <c r="W168" s="122">
        <v>174375</v>
      </c>
      <c r="X168" s="95">
        <f t="shared" si="51"/>
        <v>-573375.73640672397</v>
      </c>
      <c r="Y168" s="95">
        <f t="shared" si="51"/>
        <v>-33327.464678640827</v>
      </c>
      <c r="Z168" s="98">
        <f t="shared" si="52"/>
        <v>-573375.73640672397</v>
      </c>
      <c r="AA168" s="98">
        <f t="shared" si="52"/>
        <v>-33327.464678640827</v>
      </c>
      <c r="AB168" s="98"/>
      <c r="AC168" s="98"/>
      <c r="AD168" s="98">
        <f t="shared" si="58"/>
        <v>-33327.464678640827</v>
      </c>
      <c r="AE168" s="100">
        <v>-573375.73640672385</v>
      </c>
      <c r="AF168" s="100">
        <f>AD168/K168/M168/9*P168</f>
        <v>-637084.15156302659</v>
      </c>
      <c r="AG168" s="100"/>
      <c r="AH168" s="101"/>
      <c r="AI168" s="101"/>
      <c r="AJ168" s="101"/>
      <c r="AK168" s="101"/>
      <c r="AL168" s="101"/>
      <c r="AM168" s="104">
        <f t="shared" si="53"/>
        <v>-33327.464678640827</v>
      </c>
      <c r="AN168" s="104"/>
      <c r="AO168" s="104"/>
      <c r="AP168" s="104"/>
      <c r="AQ168" s="104">
        <f t="shared" ref="AQ168:AQ257" si="88">AM168-AN168-AO168-AP168</f>
        <v>-33327.464678640827</v>
      </c>
      <c r="AR168" s="104"/>
      <c r="AS168" s="104">
        <f t="shared" si="77"/>
        <v>-33327.464678640827</v>
      </c>
      <c r="AT168" s="104">
        <f t="shared" si="78"/>
        <v>0</v>
      </c>
      <c r="AU168" s="105">
        <f>AD168/K168/M168/8*P168</f>
        <v>-716719.67050840484</v>
      </c>
      <c r="AV168" s="106"/>
      <c r="AW168" s="106"/>
      <c r="AX168" s="107"/>
      <c r="AY168" s="107"/>
      <c r="AZ168" s="107"/>
      <c r="BA168" s="107"/>
      <c r="BB168" s="108">
        <f t="shared" si="54"/>
        <v>-716719.67050840484</v>
      </c>
      <c r="BC168" s="108">
        <f>AM168/K168/M168/7*P168</f>
        <v>-819108.19486674829</v>
      </c>
      <c r="BD168" s="109"/>
      <c r="BE168" s="109"/>
      <c r="BF168" s="109"/>
      <c r="BG168" s="110">
        <f>AQ168/K168/M168/6*P168</f>
        <v>-955626.22734453995</v>
      </c>
      <c r="BH168" s="110"/>
      <c r="BI168" s="110"/>
      <c r="BJ168" s="123">
        <f t="shared" si="80"/>
        <v>-1481220.6523840367</v>
      </c>
      <c r="BK168" s="116"/>
      <c r="BL168" s="79"/>
      <c r="BM168" s="111"/>
    </row>
    <row r="169" spans="1:66" s="211" customFormat="1" ht="25.5" hidden="1">
      <c r="A169" s="194"/>
      <c r="B169" s="151" t="s">
        <v>293</v>
      </c>
      <c r="C169" s="152"/>
      <c r="D169" s="151" t="s">
        <v>64</v>
      </c>
      <c r="E169" s="117"/>
      <c r="F169" s="151"/>
      <c r="G169" s="151"/>
      <c r="H169" s="195"/>
      <c r="I169" s="195" t="s">
        <v>295</v>
      </c>
      <c r="J169" s="196"/>
      <c r="K169" s="197"/>
      <c r="L169" s="63">
        <v>7.4999999999999997E-2</v>
      </c>
      <c r="M169" s="93">
        <v>0.9</v>
      </c>
      <c r="N169" s="94"/>
      <c r="O169" s="94">
        <v>2</v>
      </c>
      <c r="P169" s="93">
        <v>12</v>
      </c>
      <c r="Q169" s="95">
        <f>J169*L169*M169*N169/P169</f>
        <v>0</v>
      </c>
      <c r="R169" s="198">
        <f t="shared" si="55"/>
        <v>0</v>
      </c>
      <c r="S169" s="198"/>
      <c r="T169" s="198"/>
      <c r="U169" s="199"/>
      <c r="V169" s="313"/>
      <c r="W169" s="314"/>
      <c r="X169" s="198"/>
      <c r="Y169" s="198"/>
      <c r="Z169" s="201"/>
      <c r="AA169" s="201"/>
      <c r="AB169" s="201"/>
      <c r="AC169" s="201"/>
      <c r="AD169" s="201"/>
      <c r="AE169" s="202"/>
      <c r="AF169" s="202"/>
      <c r="AG169" s="202"/>
      <c r="AH169" s="203"/>
      <c r="AI169" s="203"/>
      <c r="AJ169" s="203"/>
      <c r="AK169" s="203"/>
      <c r="AL169" s="203"/>
      <c r="AM169" s="204"/>
      <c r="AN169" s="204"/>
      <c r="AO169" s="204"/>
      <c r="AP169" s="204"/>
      <c r="AQ169" s="204"/>
      <c r="AR169" s="204"/>
      <c r="AS169" s="69">
        <f t="shared" si="77"/>
        <v>0</v>
      </c>
      <c r="AT169" s="69">
        <f t="shared" si="78"/>
        <v>0</v>
      </c>
      <c r="AU169" s="306"/>
      <c r="AV169" s="206"/>
      <c r="AW169" s="206"/>
      <c r="AX169" s="207"/>
      <c r="AY169" s="207"/>
      <c r="AZ169" s="207"/>
      <c r="BA169" s="207"/>
      <c r="BB169" s="208"/>
      <c r="BC169" s="208"/>
      <c r="BD169" s="209"/>
      <c r="BE169" s="209"/>
      <c r="BF169" s="209"/>
      <c r="BG169" s="210"/>
      <c r="BH169" s="210"/>
      <c r="BI169" s="78">
        <f t="shared" si="79"/>
        <v>0</v>
      </c>
      <c r="BJ169" s="79">
        <f t="shared" si="80"/>
        <v>0</v>
      </c>
      <c r="BK169" s="79"/>
      <c r="BL169" s="143">
        <v>2000000</v>
      </c>
      <c r="BM169" s="315" t="s">
        <v>72</v>
      </c>
      <c r="BN169" s="83" t="s">
        <v>73</v>
      </c>
    </row>
    <row r="170" spans="1:66" s="211" customFormat="1" ht="25.5" hidden="1">
      <c r="A170" s="194"/>
      <c r="B170" s="151" t="s">
        <v>293</v>
      </c>
      <c r="C170" s="152"/>
      <c r="D170" s="151" t="s">
        <v>64</v>
      </c>
      <c r="E170" s="117"/>
      <c r="F170" s="151"/>
      <c r="G170" s="151"/>
      <c r="H170" s="195"/>
      <c r="I170" s="195"/>
      <c r="J170" s="196"/>
      <c r="K170" s="197"/>
      <c r="L170" s="63">
        <v>7.4999999999999997E-2</v>
      </c>
      <c r="M170" s="64">
        <v>0.9</v>
      </c>
      <c r="N170" s="65">
        <v>9</v>
      </c>
      <c r="O170" s="65">
        <v>4</v>
      </c>
      <c r="P170" s="64">
        <v>12</v>
      </c>
      <c r="Q170" s="95"/>
      <c r="R170" s="198"/>
      <c r="S170" s="198"/>
      <c r="T170" s="198"/>
      <c r="U170" s="199"/>
      <c r="V170" s="313"/>
      <c r="W170" s="314"/>
      <c r="X170" s="198"/>
      <c r="Y170" s="198"/>
      <c r="Z170" s="201"/>
      <c r="AA170" s="201"/>
      <c r="AB170" s="201"/>
      <c r="AC170" s="201"/>
      <c r="AD170" s="201"/>
      <c r="AE170" s="202"/>
      <c r="AF170" s="202"/>
      <c r="AG170" s="202"/>
      <c r="AH170" s="203"/>
      <c r="AI170" s="203"/>
      <c r="AJ170" s="203"/>
      <c r="AK170" s="203"/>
      <c r="AL170" s="203"/>
      <c r="AM170" s="204"/>
      <c r="AN170" s="204"/>
      <c r="AO170" s="204"/>
      <c r="AP170" s="204"/>
      <c r="AQ170" s="204"/>
      <c r="AR170" s="204"/>
      <c r="AS170" s="69">
        <f t="shared" si="77"/>
        <v>0</v>
      </c>
      <c r="AT170" s="69">
        <f t="shared" si="78"/>
        <v>0</v>
      </c>
      <c r="AU170" s="306"/>
      <c r="AV170" s="206"/>
      <c r="AW170" s="206"/>
      <c r="AX170" s="207"/>
      <c r="AY170" s="207"/>
      <c r="AZ170" s="207"/>
      <c r="BA170" s="207"/>
      <c r="BB170" s="208"/>
      <c r="BC170" s="208"/>
      <c r="BD170" s="209"/>
      <c r="BE170" s="209"/>
      <c r="BF170" s="209"/>
      <c r="BG170" s="210"/>
      <c r="BH170" s="210"/>
      <c r="BI170" s="78">
        <f t="shared" si="79"/>
        <v>0</v>
      </c>
      <c r="BJ170" s="79">
        <f t="shared" si="80"/>
        <v>0</v>
      </c>
      <c r="BK170" s="79"/>
      <c r="BL170" s="143">
        <v>2000000</v>
      </c>
      <c r="BM170" s="315" t="s">
        <v>72</v>
      </c>
      <c r="BN170" s="83" t="s">
        <v>73</v>
      </c>
    </row>
    <row r="171" spans="1:66" s="81" customFormat="1" ht="38.25">
      <c r="A171" s="56">
        <f>A168+1</f>
        <v>129</v>
      </c>
      <c r="B171" s="57" t="s">
        <v>296</v>
      </c>
      <c r="C171" s="58" t="s">
        <v>297</v>
      </c>
      <c r="D171" s="117" t="s">
        <v>298</v>
      </c>
      <c r="E171" s="57" t="s">
        <v>65</v>
      </c>
      <c r="F171" s="57"/>
      <c r="G171" s="57"/>
      <c r="H171" s="60">
        <v>43647</v>
      </c>
      <c r="I171" s="60">
        <v>43647</v>
      </c>
      <c r="J171" s="62">
        <v>5000000</v>
      </c>
      <c r="K171" s="63">
        <v>7.7499999999999999E-2</v>
      </c>
      <c r="L171" s="63">
        <v>7.4999999999999997E-2</v>
      </c>
      <c r="M171" s="64">
        <v>0.9</v>
      </c>
      <c r="N171" s="65">
        <v>5</v>
      </c>
      <c r="O171" s="65">
        <v>4</v>
      </c>
      <c r="P171" s="64">
        <v>12</v>
      </c>
      <c r="Q171" s="65">
        <f>J171*K171*M171*N171/P171</f>
        <v>145312.5</v>
      </c>
      <c r="R171" s="65">
        <f t="shared" si="55"/>
        <v>3033280.3294915948</v>
      </c>
      <c r="S171" s="65">
        <f>R171*K171*M171*N171/P171</f>
        <v>88154.709575849469</v>
      </c>
      <c r="T171" s="65">
        <f t="shared" si="56"/>
        <v>57157.790424150531</v>
      </c>
      <c r="U171" s="66">
        <v>0.606656065898319</v>
      </c>
      <c r="V171" s="65"/>
      <c r="W171" s="64"/>
      <c r="X171" s="65">
        <f t="shared" si="51"/>
        <v>3033280.3294915948</v>
      </c>
      <c r="Y171" s="65">
        <f t="shared" si="51"/>
        <v>88154.709575849469</v>
      </c>
      <c r="Z171" s="67">
        <f t="shared" si="52"/>
        <v>3033280.3294915948</v>
      </c>
      <c r="AA171" s="67">
        <f t="shared" si="52"/>
        <v>88154.709575849469</v>
      </c>
      <c r="AB171" s="67"/>
      <c r="AC171" s="67"/>
      <c r="AD171" s="67">
        <f t="shared" si="58"/>
        <v>88154.709575849469</v>
      </c>
      <c r="AE171" s="68">
        <v>1516640.1647457974</v>
      </c>
      <c r="AF171" s="68">
        <f>AD171/K171/M171/9*P171</f>
        <v>1685155.7386064413</v>
      </c>
      <c r="AG171" s="68"/>
      <c r="AH171" s="69"/>
      <c r="AI171" s="69"/>
      <c r="AJ171" s="70"/>
      <c r="AK171" s="70"/>
      <c r="AL171" s="71"/>
      <c r="AM171" s="69">
        <f t="shared" ref="AM171:AM259" si="89">AD171+AH171-AG171-AI171-AJ171-AK171-AL171</f>
        <v>88154.709575849469</v>
      </c>
      <c r="AN171" s="69"/>
      <c r="AO171" s="69"/>
      <c r="AP171" s="69"/>
      <c r="AQ171" s="69">
        <f t="shared" si="88"/>
        <v>88154.709575849469</v>
      </c>
      <c r="AR171" s="69"/>
      <c r="AS171" s="69">
        <f t="shared" si="77"/>
        <v>88154.709575849469</v>
      </c>
      <c r="AT171" s="69">
        <f t="shared" si="78"/>
        <v>88154.709524999998</v>
      </c>
      <c r="AU171" s="72">
        <f>AD171/K171/M171/8*P171</f>
        <v>1895800.2059322465</v>
      </c>
      <c r="AV171" s="72"/>
      <c r="AW171" s="72"/>
      <c r="AX171" s="316"/>
      <c r="AY171" s="74"/>
      <c r="AZ171" s="74"/>
      <c r="BA171" s="75"/>
      <c r="BB171" s="76">
        <f t="shared" ref="BB171:BB259" si="90">AU171-AV171+AW171-AX171-AY171-AZ171-BA171</f>
        <v>1895800.2059322465</v>
      </c>
      <c r="BC171" s="76">
        <f>AM171/K171/M171/7*P171</f>
        <v>2166628.8067797106</v>
      </c>
      <c r="BD171" s="77"/>
      <c r="BE171" s="77"/>
      <c r="BF171" s="77"/>
      <c r="BG171" s="78">
        <f>AQ171/K171/M171/6*P171</f>
        <v>2527733.6079096622</v>
      </c>
      <c r="BH171" s="78"/>
      <c r="BI171" s="78">
        <f t="shared" si="79"/>
        <v>5.084947042632848E-5</v>
      </c>
      <c r="BJ171" s="79">
        <f t="shared" si="80"/>
        <v>3917987.0922599765</v>
      </c>
      <c r="BK171" s="79">
        <v>3917987.09</v>
      </c>
      <c r="BL171" s="143">
        <v>5000000</v>
      </c>
      <c r="BM171" s="190" t="s">
        <v>290</v>
      </c>
      <c r="BN171" s="56" t="s">
        <v>76</v>
      </c>
    </row>
    <row r="172" spans="1:66" s="112" customFormat="1" ht="25.5">
      <c r="A172" s="84">
        <f t="shared" si="87"/>
        <v>130</v>
      </c>
      <c r="B172" s="85" t="s">
        <v>299</v>
      </c>
      <c r="C172" s="86" t="s">
        <v>300</v>
      </c>
      <c r="D172" s="85" t="s">
        <v>97</v>
      </c>
      <c r="E172" s="87" t="s">
        <v>65</v>
      </c>
      <c r="F172" s="89"/>
      <c r="G172" s="89"/>
      <c r="H172" s="90">
        <v>43497</v>
      </c>
      <c r="I172" s="90">
        <v>43497</v>
      </c>
      <c r="J172" s="91">
        <v>12000000</v>
      </c>
      <c r="K172" s="92">
        <v>7.7499999999999999E-2</v>
      </c>
      <c r="L172" s="63">
        <v>7.4999999999999997E-2</v>
      </c>
      <c r="M172" s="93">
        <v>0.9</v>
      </c>
      <c r="N172" s="94">
        <v>10</v>
      </c>
      <c r="O172" s="94"/>
      <c r="P172" s="93">
        <v>12</v>
      </c>
      <c r="Q172" s="95">
        <f>J172*K172*M172*N172/P172</f>
        <v>697500</v>
      </c>
      <c r="R172" s="94">
        <f t="shared" si="55"/>
        <v>7279872.7907798281</v>
      </c>
      <c r="S172" s="95">
        <f>R172*K172*M172*N172/P172</f>
        <v>423142.60596407746</v>
      </c>
      <c r="T172" s="95">
        <f t="shared" si="56"/>
        <v>274357.39403592254</v>
      </c>
      <c r="U172" s="96">
        <v>0.606656065898319</v>
      </c>
      <c r="V172" s="317">
        <v>18000000</v>
      </c>
      <c r="W172" s="318">
        <v>1046250</v>
      </c>
      <c r="X172" s="95">
        <f t="shared" ref="X172:Y260" si="91">R172-V172</f>
        <v>-10720127.209220171</v>
      </c>
      <c r="Y172" s="95">
        <f t="shared" si="91"/>
        <v>-623107.3940359226</v>
      </c>
      <c r="Z172" s="98">
        <f t="shared" ref="Z172:AA260" si="92">SUM(X172)</f>
        <v>-10720127.209220171</v>
      </c>
      <c r="AA172" s="98">
        <f t="shared" si="92"/>
        <v>-623107.3940359226</v>
      </c>
      <c r="AB172" s="98"/>
      <c r="AC172" s="98"/>
      <c r="AD172" s="98">
        <f t="shared" si="58"/>
        <v>-623107.3940359226</v>
      </c>
      <c r="AE172" s="100">
        <v>-13866878.682033621</v>
      </c>
      <c r="AF172" s="100">
        <f>AD172/K172/M172/9*P172</f>
        <v>-11911252.45468908</v>
      </c>
      <c r="AG172" s="100"/>
      <c r="AH172" s="101"/>
      <c r="AI172" s="101"/>
      <c r="AJ172" s="101"/>
      <c r="AK172" s="101"/>
      <c r="AL172" s="101"/>
      <c r="AM172" s="104">
        <f t="shared" si="89"/>
        <v>-623107.3940359226</v>
      </c>
      <c r="AN172" s="104"/>
      <c r="AO172" s="104"/>
      <c r="AP172" s="104"/>
      <c r="AQ172" s="104">
        <f t="shared" si="88"/>
        <v>-623107.3940359226</v>
      </c>
      <c r="AR172" s="104"/>
      <c r="AS172" s="104">
        <f t="shared" si="77"/>
        <v>-623107.3940359226</v>
      </c>
      <c r="AT172" s="104">
        <f t="shared" si="78"/>
        <v>0</v>
      </c>
      <c r="AU172" s="105">
        <f>AD172/K172/M172/8*P172</f>
        <v>-13400159.011525216</v>
      </c>
      <c r="AV172" s="106"/>
      <c r="AW172" s="106"/>
      <c r="AX172" s="107"/>
      <c r="AY172" s="107"/>
      <c r="AZ172" s="107"/>
      <c r="BA172" s="107"/>
      <c r="BB172" s="108">
        <f t="shared" si="90"/>
        <v>-13400159.011525216</v>
      </c>
      <c r="BC172" s="108">
        <f>AM172/K172/M172/7*P172</f>
        <v>-15314467.441743106</v>
      </c>
      <c r="BD172" s="109"/>
      <c r="BE172" s="109"/>
      <c r="BF172" s="109"/>
      <c r="BG172" s="110">
        <f>AQ172/K172/M172/6*P172</f>
        <v>-17866878.682033621</v>
      </c>
      <c r="BH172" s="110"/>
      <c r="BI172" s="110"/>
      <c r="BJ172" s="123">
        <f t="shared" si="80"/>
        <v>-27693661.957152117</v>
      </c>
      <c r="BK172" s="116"/>
      <c r="BL172" s="79"/>
      <c r="BM172" s="111"/>
    </row>
    <row r="173" spans="1:66" s="112" customFormat="1" ht="51">
      <c r="A173" s="84">
        <f t="shared" si="87"/>
        <v>131</v>
      </c>
      <c r="B173" s="85" t="s">
        <v>299</v>
      </c>
      <c r="C173" s="86" t="s">
        <v>300</v>
      </c>
      <c r="D173" s="85" t="s">
        <v>301</v>
      </c>
      <c r="E173" s="87" t="s">
        <v>65</v>
      </c>
      <c r="F173" s="89"/>
      <c r="G173" s="89"/>
      <c r="H173" s="90">
        <v>43497</v>
      </c>
      <c r="I173" s="90">
        <v>43497</v>
      </c>
      <c r="J173" s="91">
        <v>8000000</v>
      </c>
      <c r="K173" s="92">
        <v>7.7499999999999999E-2</v>
      </c>
      <c r="L173" s="63">
        <v>7.4999999999999997E-2</v>
      </c>
      <c r="M173" s="93">
        <v>0.9</v>
      </c>
      <c r="N173" s="94">
        <v>10</v>
      </c>
      <c r="O173" s="94"/>
      <c r="P173" s="112">
        <v>12</v>
      </c>
      <c r="Q173" s="95">
        <f>J173*K173*M173*N173/P174</f>
        <v>465000</v>
      </c>
      <c r="R173" s="94">
        <f t="shared" ref="R173:R261" si="93">J173*0.606656065898319</f>
        <v>4853248.5271865521</v>
      </c>
      <c r="S173" s="95">
        <f>R173*K173*M173*N173/P174</f>
        <v>282095.07064271835</v>
      </c>
      <c r="T173" s="95">
        <f t="shared" ref="T173:T261" si="94">Q173-S173</f>
        <v>182904.92935728165</v>
      </c>
      <c r="U173" s="96">
        <v>0.606656065898319</v>
      </c>
      <c r="V173" s="317">
        <v>8000000</v>
      </c>
      <c r="W173" s="318">
        <v>465000</v>
      </c>
      <c r="X173" s="95">
        <f t="shared" si="91"/>
        <v>-3146751.4728134479</v>
      </c>
      <c r="Y173" s="95">
        <f t="shared" si="91"/>
        <v>-182904.92935728165</v>
      </c>
      <c r="Z173" s="98">
        <f t="shared" si="92"/>
        <v>-3146751.4728134479</v>
      </c>
      <c r="AA173" s="98">
        <f t="shared" si="92"/>
        <v>-182904.92935728165</v>
      </c>
      <c r="AB173" s="115"/>
      <c r="AC173" s="115"/>
      <c r="AD173" s="98">
        <f t="shared" si="58"/>
        <v>-182904.92935728165</v>
      </c>
      <c r="AE173" s="100">
        <v>0</v>
      </c>
      <c r="AF173" s="100">
        <f>AD173/K173/M173/9*P174</f>
        <v>-3496390.525348275</v>
      </c>
      <c r="AG173" s="100"/>
      <c r="AH173" s="101"/>
      <c r="AI173" s="101"/>
      <c r="AJ173" s="101"/>
      <c r="AK173" s="101"/>
      <c r="AL173" s="101"/>
      <c r="AM173" s="104">
        <f t="shared" si="89"/>
        <v>-182904.92935728165</v>
      </c>
      <c r="AN173" s="104"/>
      <c r="AO173" s="104"/>
      <c r="AP173" s="104"/>
      <c r="AQ173" s="104">
        <f t="shared" si="88"/>
        <v>-182904.92935728165</v>
      </c>
      <c r="AR173" s="104"/>
      <c r="AS173" s="104">
        <f t="shared" si="77"/>
        <v>-182904.92935728165</v>
      </c>
      <c r="AT173" s="104">
        <f t="shared" si="78"/>
        <v>0</v>
      </c>
      <c r="AU173" s="105">
        <f>AD173/K173/M173/8*P174</f>
        <v>-3933439.3410168095</v>
      </c>
      <c r="AV173" s="106"/>
      <c r="AW173" s="106"/>
      <c r="AX173" s="107"/>
      <c r="AY173" s="107"/>
      <c r="AZ173" s="107"/>
      <c r="BA173" s="107"/>
      <c r="BB173" s="108">
        <f t="shared" si="90"/>
        <v>-3933439.3410168095</v>
      </c>
      <c r="BC173" s="108">
        <f>AM173/K173/M173/7*P174</f>
        <v>-4495359.2468763534</v>
      </c>
      <c r="BD173" s="109"/>
      <c r="BE173" s="109"/>
      <c r="BF173" s="109"/>
      <c r="BG173" s="110">
        <f>AQ173/K173/M173/6*P174</f>
        <v>-5244585.7880224129</v>
      </c>
      <c r="BH173" s="110"/>
      <c r="BI173" s="110"/>
      <c r="BJ173" s="123">
        <f t="shared" si="80"/>
        <v>-8129107.9714347403</v>
      </c>
      <c r="BK173" s="116"/>
      <c r="BL173" s="79"/>
      <c r="BM173" s="111" t="s">
        <v>302</v>
      </c>
    </row>
    <row r="174" spans="1:66" s="170" customFormat="1" hidden="1">
      <c r="A174" s="150"/>
      <c r="B174" s="151" t="s">
        <v>299</v>
      </c>
      <c r="C174" s="152" t="s">
        <v>300</v>
      </c>
      <c r="D174" s="153"/>
      <c r="E174" s="127"/>
      <c r="F174" s="153"/>
      <c r="G174" s="153"/>
      <c r="H174" s="155"/>
      <c r="I174" s="155"/>
      <c r="J174" s="156"/>
      <c r="K174" s="157"/>
      <c r="L174" s="63">
        <v>7.4999999999999997E-2</v>
      </c>
      <c r="M174" s="64">
        <v>0.9</v>
      </c>
      <c r="N174" s="65">
        <v>5</v>
      </c>
      <c r="O174" s="65">
        <v>4</v>
      </c>
      <c r="P174" s="93">
        <v>12</v>
      </c>
      <c r="Q174" s="158"/>
      <c r="R174" s="158"/>
      <c r="S174" s="158"/>
      <c r="T174" s="158"/>
      <c r="U174" s="159"/>
      <c r="V174" s="319"/>
      <c r="W174" s="320"/>
      <c r="X174" s="158"/>
      <c r="Y174" s="158"/>
      <c r="Z174" s="161"/>
      <c r="AA174" s="161"/>
      <c r="AB174" s="162"/>
      <c r="AC174" s="162"/>
      <c r="AD174" s="161"/>
      <c r="AE174" s="163"/>
      <c r="AF174" s="163"/>
      <c r="AG174" s="163"/>
      <c r="AH174" s="102"/>
      <c r="AI174" s="102"/>
      <c r="AJ174" s="102"/>
      <c r="AK174" s="102"/>
      <c r="AL174" s="102"/>
      <c r="AM174" s="70"/>
      <c r="AN174" s="70"/>
      <c r="AO174" s="70"/>
      <c r="AP174" s="70"/>
      <c r="AQ174" s="70"/>
      <c r="AR174" s="70"/>
      <c r="AS174" s="69">
        <f t="shared" si="77"/>
        <v>0</v>
      </c>
      <c r="AT174" s="69">
        <f t="shared" si="78"/>
        <v>0</v>
      </c>
      <c r="AU174" s="164"/>
      <c r="AV174" s="165"/>
      <c r="AW174" s="165"/>
      <c r="AX174" s="166"/>
      <c r="AY174" s="166"/>
      <c r="AZ174" s="166"/>
      <c r="BA174" s="166"/>
      <c r="BB174" s="137"/>
      <c r="BC174" s="137"/>
      <c r="BD174" s="167"/>
      <c r="BE174" s="167"/>
      <c r="BF174" s="167"/>
      <c r="BG174" s="168"/>
      <c r="BH174" s="168"/>
      <c r="BI174" s="78">
        <f t="shared" si="79"/>
        <v>0</v>
      </c>
      <c r="BJ174" s="79">
        <f t="shared" si="80"/>
        <v>0</v>
      </c>
      <c r="BK174" s="79"/>
      <c r="BL174" s="143">
        <v>15000000</v>
      </c>
      <c r="BM174" s="144" t="s">
        <v>303</v>
      </c>
      <c r="BN174" s="145" t="s">
        <v>186</v>
      </c>
    </row>
    <row r="175" spans="1:66" s="81" customFormat="1" ht="25.5">
      <c r="A175" s="171">
        <f>A173+1</f>
        <v>132</v>
      </c>
      <c r="B175" s="87" t="s">
        <v>304</v>
      </c>
      <c r="C175" s="172" t="s">
        <v>305</v>
      </c>
      <c r="D175" s="87" t="s">
        <v>97</v>
      </c>
      <c r="E175" s="87" t="s">
        <v>65</v>
      </c>
      <c r="F175" s="87"/>
      <c r="G175" s="87"/>
      <c r="H175" s="174">
        <v>43497</v>
      </c>
      <c r="I175" s="90" t="s">
        <v>128</v>
      </c>
      <c r="J175" s="175">
        <f>82000000</f>
        <v>82000000</v>
      </c>
      <c r="K175" s="121">
        <v>7.7499999999999999E-2</v>
      </c>
      <c r="L175" s="63">
        <v>7.4999999999999997E-2</v>
      </c>
      <c r="M175" s="176">
        <v>0.9</v>
      </c>
      <c r="N175" s="177">
        <v>10</v>
      </c>
      <c r="O175" s="177"/>
      <c r="P175" s="176">
        <v>12</v>
      </c>
      <c r="Q175" s="177">
        <f t="shared" ref="Q175:Q184" si="95">J175*K175*M175*N175/P175</f>
        <v>4766250</v>
      </c>
      <c r="R175" s="177">
        <f t="shared" si="93"/>
        <v>49745797.40366216</v>
      </c>
      <c r="S175" s="177">
        <f t="shared" ref="S175:S184" si="96">R175*K175*M175*N175/P175</f>
        <v>2891474.4740878628</v>
      </c>
      <c r="T175" s="177">
        <f t="shared" si="94"/>
        <v>1874775.5259121372</v>
      </c>
      <c r="U175" s="178">
        <v>0.606656065898319</v>
      </c>
      <c r="V175" s="177"/>
      <c r="W175" s="176"/>
      <c r="X175" s="177">
        <f t="shared" si="91"/>
        <v>49745797.40366216</v>
      </c>
      <c r="Y175" s="177">
        <f t="shared" si="91"/>
        <v>2891474.4740878628</v>
      </c>
      <c r="Z175" s="179">
        <f t="shared" si="92"/>
        <v>49745797.40366216</v>
      </c>
      <c r="AA175" s="179">
        <f t="shared" si="92"/>
        <v>2891474.4740878628</v>
      </c>
      <c r="AB175" s="179"/>
      <c r="AC175" s="179"/>
      <c r="AD175" s="179">
        <f t="shared" si="58"/>
        <v>2891474.4740878628</v>
      </c>
      <c r="AE175" s="180">
        <v>49745797.403662145</v>
      </c>
      <c r="AF175" s="180">
        <f t="shared" ref="AF175:AF184" si="97">AD175/K175/M175/9*P175</f>
        <v>55273108.226291277</v>
      </c>
      <c r="AG175" s="180"/>
      <c r="AH175" s="104">
        <v>-2891474.47</v>
      </c>
      <c r="AI175" s="104"/>
      <c r="AJ175" s="104"/>
      <c r="AK175" s="104"/>
      <c r="AL175" s="104"/>
      <c r="AM175" s="104">
        <f t="shared" si="89"/>
        <v>4.0878625586628914E-3</v>
      </c>
      <c r="AN175" s="104"/>
      <c r="AO175" s="104"/>
      <c r="AP175" s="104"/>
      <c r="AQ175" s="104">
        <f t="shared" si="88"/>
        <v>4.0878625586628914E-3</v>
      </c>
      <c r="AR175" s="104"/>
      <c r="AS175" s="69">
        <f t="shared" si="77"/>
        <v>4.0878625586628914E-3</v>
      </c>
      <c r="AT175" s="104">
        <f t="shared" si="78"/>
        <v>0</v>
      </c>
      <c r="AU175" s="181">
        <f t="shared" ref="AU175:AU184" si="98">AD175/K175/M175/8*P175</f>
        <v>62182246.754577689</v>
      </c>
      <c r="AV175" s="181"/>
      <c r="AW175" s="106">
        <v>-62182246.75</v>
      </c>
      <c r="AX175" s="107"/>
      <c r="AY175" s="182"/>
      <c r="AZ175" s="182"/>
      <c r="BA175" s="182"/>
      <c r="BB175" s="108">
        <f t="shared" si="90"/>
        <v>4.5776888728141785E-3</v>
      </c>
      <c r="BC175" s="108">
        <f t="shared" ref="BC175:BC184" si="99">AM175/K175/M175/7*P175</f>
        <v>0.10046974030507874</v>
      </c>
      <c r="BD175" s="183"/>
      <c r="BE175" s="183"/>
      <c r="BF175" s="183"/>
      <c r="BG175" s="110">
        <f t="shared" ref="BG175:BG184" si="100">AQ175/K175/M175/6*P175</f>
        <v>0.11721469702259188</v>
      </c>
      <c r="BH175" s="110"/>
      <c r="BI175" s="110">
        <f t="shared" si="79"/>
        <v>4.0878625586628914E-3</v>
      </c>
      <c r="BJ175" s="116">
        <f t="shared" si="80"/>
        <v>0.1816827803850174</v>
      </c>
      <c r="BK175" s="116"/>
      <c r="BL175" s="79"/>
      <c r="BM175" s="80"/>
    </row>
    <row r="176" spans="1:66" s="322" customFormat="1" ht="38.25">
      <c r="A176" s="171">
        <f t="shared" si="87"/>
        <v>133</v>
      </c>
      <c r="B176" s="219" t="s">
        <v>306</v>
      </c>
      <c r="C176" s="172" t="s">
        <v>307</v>
      </c>
      <c r="D176" s="87" t="s">
        <v>97</v>
      </c>
      <c r="E176" s="87"/>
      <c r="F176" s="87"/>
      <c r="G176" s="87"/>
      <c r="H176" s="174">
        <v>43497</v>
      </c>
      <c r="I176" s="90" t="s">
        <v>308</v>
      </c>
      <c r="J176" s="175">
        <v>6000000</v>
      </c>
      <c r="K176" s="121">
        <v>7.7499999999999999E-2</v>
      </c>
      <c r="L176" s="63">
        <v>7.4999999999999997E-2</v>
      </c>
      <c r="M176" s="176">
        <v>0.9</v>
      </c>
      <c r="N176" s="177">
        <v>10</v>
      </c>
      <c r="O176" s="177"/>
      <c r="P176" s="176">
        <v>12</v>
      </c>
      <c r="Q176" s="177">
        <f t="shared" si="95"/>
        <v>348750</v>
      </c>
      <c r="R176" s="177">
        <f t="shared" si="93"/>
        <v>3639936.395389914</v>
      </c>
      <c r="S176" s="177">
        <f t="shared" si="96"/>
        <v>211571.30298203873</v>
      </c>
      <c r="T176" s="177">
        <f t="shared" si="94"/>
        <v>137178.69701796127</v>
      </c>
      <c r="U176" s="178">
        <v>0.606656065898319</v>
      </c>
      <c r="V176" s="177"/>
      <c r="W176" s="176"/>
      <c r="X176" s="177">
        <f t="shared" si="91"/>
        <v>3639936.395389914</v>
      </c>
      <c r="Y176" s="177">
        <f t="shared" si="91"/>
        <v>211571.30298203873</v>
      </c>
      <c r="Z176" s="179">
        <f t="shared" si="92"/>
        <v>3639936.395389914</v>
      </c>
      <c r="AA176" s="179">
        <f t="shared" si="92"/>
        <v>211571.30298203873</v>
      </c>
      <c r="AB176" s="179"/>
      <c r="AC176" s="179"/>
      <c r="AD176" s="179">
        <f t="shared" ref="AD176:AD265" si="101">AA176-AB176-AC176</f>
        <v>211571.30298203873</v>
      </c>
      <c r="AE176" s="180">
        <v>3639936.395389914</v>
      </c>
      <c r="AF176" s="180">
        <f t="shared" si="97"/>
        <v>4044373.7726554601</v>
      </c>
      <c r="AG176" s="180"/>
      <c r="AH176" s="104">
        <v>-211571.3</v>
      </c>
      <c r="AI176" s="104"/>
      <c r="AJ176" s="104"/>
      <c r="AK176" s="104"/>
      <c r="AL176" s="104"/>
      <c r="AM176" s="104">
        <f t="shared" si="89"/>
        <v>2.9820387426298112E-3</v>
      </c>
      <c r="AN176" s="104"/>
      <c r="AO176" s="104"/>
      <c r="AP176" s="104"/>
      <c r="AQ176" s="104">
        <f t="shared" si="88"/>
        <v>2.9820387426298112E-3</v>
      </c>
      <c r="AR176" s="104"/>
      <c r="AS176" s="69">
        <f t="shared" si="77"/>
        <v>2.9820387426298112E-3</v>
      </c>
      <c r="AT176" s="104">
        <f t="shared" si="78"/>
        <v>0</v>
      </c>
      <c r="AU176" s="181">
        <f t="shared" si="98"/>
        <v>4549920.4942373922</v>
      </c>
      <c r="AV176" s="181"/>
      <c r="AW176" s="106">
        <v>-4549920.49</v>
      </c>
      <c r="AX176" s="107"/>
      <c r="AY176" s="182"/>
      <c r="AZ176" s="182"/>
      <c r="BA176" s="182"/>
      <c r="BB176" s="108">
        <f t="shared" si="90"/>
        <v>4.2373919859528542E-3</v>
      </c>
      <c r="BC176" s="108">
        <f t="shared" si="99"/>
        <v>7.3291274780456189E-2</v>
      </c>
      <c r="BD176" s="183"/>
      <c r="BE176" s="183"/>
      <c r="BF176" s="183"/>
      <c r="BG176" s="110">
        <f t="shared" si="100"/>
        <v>8.5506487243865559E-2</v>
      </c>
      <c r="BH176" s="110"/>
      <c r="BI176" s="110">
        <f t="shared" si="79"/>
        <v>2.9820387426298112E-3</v>
      </c>
      <c r="BJ176" s="116">
        <f t="shared" si="80"/>
        <v>0.13253505522799161</v>
      </c>
      <c r="BK176" s="116"/>
      <c r="BL176" s="79"/>
      <c r="BM176" s="321"/>
    </row>
    <row r="177" spans="1:66" s="81" customFormat="1" ht="38.25">
      <c r="A177" s="56">
        <f t="shared" si="87"/>
        <v>134</v>
      </c>
      <c r="B177" s="57" t="s">
        <v>309</v>
      </c>
      <c r="C177" s="58" t="s">
        <v>310</v>
      </c>
      <c r="D177" s="57" t="s">
        <v>311</v>
      </c>
      <c r="E177" s="57" t="s">
        <v>65</v>
      </c>
      <c r="F177" s="57"/>
      <c r="G177" s="57"/>
      <c r="H177" s="60">
        <v>43525</v>
      </c>
      <c r="I177" s="323" t="s">
        <v>149</v>
      </c>
      <c r="J177" s="62">
        <v>5000000</v>
      </c>
      <c r="K177" s="63">
        <v>7.7499999999999999E-2</v>
      </c>
      <c r="L177" s="63">
        <v>7.4999999999999997E-2</v>
      </c>
      <c r="M177" s="64">
        <v>0.9</v>
      </c>
      <c r="N177" s="65">
        <v>9</v>
      </c>
      <c r="O177" s="65">
        <v>3</v>
      </c>
      <c r="P177" s="64">
        <v>12</v>
      </c>
      <c r="Q177" s="65">
        <f t="shared" si="95"/>
        <v>261562.5</v>
      </c>
      <c r="R177" s="65">
        <f t="shared" si="93"/>
        <v>3033280.3294915948</v>
      </c>
      <c r="S177" s="65">
        <f t="shared" si="96"/>
        <v>158678.47723652906</v>
      </c>
      <c r="T177" s="65">
        <f t="shared" si="94"/>
        <v>102884.02276347094</v>
      </c>
      <c r="U177" s="66">
        <v>0.606656065898319</v>
      </c>
      <c r="V177" s="65"/>
      <c r="W177" s="64"/>
      <c r="X177" s="65">
        <f t="shared" si="91"/>
        <v>3033280.3294915948</v>
      </c>
      <c r="Y177" s="65">
        <f t="shared" si="91"/>
        <v>158678.47723652906</v>
      </c>
      <c r="Z177" s="67">
        <f t="shared" si="92"/>
        <v>3033280.3294915948</v>
      </c>
      <c r="AA177" s="67">
        <f t="shared" si="92"/>
        <v>158678.47723652906</v>
      </c>
      <c r="AB177" s="67">
        <v>157568.12</v>
      </c>
      <c r="AC177" s="67"/>
      <c r="AD177" s="67">
        <f t="shared" si="101"/>
        <v>1110.3572365290602</v>
      </c>
      <c r="AE177" s="68">
        <v>-1670047.703457565</v>
      </c>
      <c r="AF177" s="68">
        <f t="shared" si="97"/>
        <v>21225.466887054914</v>
      </c>
      <c r="AG177" s="68"/>
      <c r="AH177" s="69"/>
      <c r="AI177" s="69"/>
      <c r="AJ177" s="70"/>
      <c r="AK177" s="70"/>
      <c r="AL177" s="71"/>
      <c r="AM177" s="104">
        <f t="shared" si="89"/>
        <v>1110.3572365290602</v>
      </c>
      <c r="AN177" s="104"/>
      <c r="AO177" s="104"/>
      <c r="AP177" s="104"/>
      <c r="AQ177" s="70">
        <f t="shared" si="88"/>
        <v>1110.3572365290602</v>
      </c>
      <c r="AR177" s="70"/>
      <c r="AS177" s="69">
        <v>158678.48000000001</v>
      </c>
      <c r="AT177" s="69">
        <f t="shared" si="78"/>
        <v>112500</v>
      </c>
      <c r="AU177" s="181">
        <f t="shared" si="98"/>
        <v>23878.650247936777</v>
      </c>
      <c r="AV177" s="181"/>
      <c r="AW177" s="181"/>
      <c r="AX177" s="182"/>
      <c r="AY177" s="182"/>
      <c r="AZ177" s="182"/>
      <c r="BA177" s="182"/>
      <c r="BB177" s="108">
        <f t="shared" si="90"/>
        <v>23878.650247936777</v>
      </c>
      <c r="BC177" s="108">
        <f t="shared" si="99"/>
        <v>27289.885997642028</v>
      </c>
      <c r="BD177" s="183"/>
      <c r="BE177" s="183"/>
      <c r="BF177" s="183"/>
      <c r="BG177" s="110">
        <f t="shared" si="100"/>
        <v>31838.200330582371</v>
      </c>
      <c r="BH177" s="110"/>
      <c r="BI177" s="78">
        <f t="shared" si="79"/>
        <v>46178.48000000001</v>
      </c>
      <c r="BJ177" s="79">
        <f t="shared" si="80"/>
        <v>7052376.8888888899</v>
      </c>
      <c r="BK177" s="79">
        <v>5000000</v>
      </c>
      <c r="BL177" s="79">
        <v>0</v>
      </c>
      <c r="BM177" s="80"/>
    </row>
    <row r="178" spans="1:66" s="81" customFormat="1" ht="38.25">
      <c r="A178" s="56">
        <f t="shared" si="87"/>
        <v>135</v>
      </c>
      <c r="B178" s="57" t="s">
        <v>312</v>
      </c>
      <c r="C178" s="58" t="s">
        <v>313</v>
      </c>
      <c r="D178" s="57" t="s">
        <v>311</v>
      </c>
      <c r="E178" s="57" t="s">
        <v>65</v>
      </c>
      <c r="F178" s="57"/>
      <c r="G178" s="57"/>
      <c r="H178" s="60">
        <v>43497</v>
      </c>
      <c r="I178" s="323" t="s">
        <v>314</v>
      </c>
      <c r="J178" s="62">
        <v>20000000</v>
      </c>
      <c r="K178" s="63">
        <v>7.7499999999999999E-2</v>
      </c>
      <c r="L178" s="63">
        <v>7.4999999999999997E-2</v>
      </c>
      <c r="M178" s="64">
        <v>0.9</v>
      </c>
      <c r="N178" s="65">
        <v>10</v>
      </c>
      <c r="O178" s="65">
        <v>4</v>
      </c>
      <c r="P178" s="64">
        <v>12</v>
      </c>
      <c r="Q178" s="65">
        <f t="shared" si="95"/>
        <v>1162500</v>
      </c>
      <c r="R178" s="65">
        <f t="shared" si="93"/>
        <v>12133121.317966379</v>
      </c>
      <c r="S178" s="65">
        <f t="shared" si="96"/>
        <v>705237.67660679575</v>
      </c>
      <c r="T178" s="65">
        <f t="shared" si="94"/>
        <v>457262.32339320425</v>
      </c>
      <c r="U178" s="66">
        <v>0.606656065898319</v>
      </c>
      <c r="V178" s="65"/>
      <c r="W178" s="64"/>
      <c r="X178" s="65">
        <f t="shared" si="91"/>
        <v>12133121.317966379</v>
      </c>
      <c r="Y178" s="65">
        <f t="shared" si="91"/>
        <v>705237.67660679575</v>
      </c>
      <c r="Z178" s="67">
        <f t="shared" si="92"/>
        <v>12133121.317966379</v>
      </c>
      <c r="AA178" s="67">
        <f t="shared" si="92"/>
        <v>705237.67660679575</v>
      </c>
      <c r="AB178" s="67"/>
      <c r="AC178" s="67"/>
      <c r="AD178" s="67">
        <f t="shared" si="101"/>
        <v>705237.67660679575</v>
      </c>
      <c r="AE178" s="68">
        <v>19716322.141695369</v>
      </c>
      <c r="AF178" s="68">
        <f t="shared" si="97"/>
        <v>13481245.90885153</v>
      </c>
      <c r="AG178" s="68"/>
      <c r="AH178" s="69"/>
      <c r="AI178" s="69"/>
      <c r="AJ178" s="70"/>
      <c r="AK178" s="70"/>
      <c r="AL178" s="71"/>
      <c r="AM178" s="69">
        <f t="shared" si="89"/>
        <v>705237.67660679575</v>
      </c>
      <c r="AN178" s="69"/>
      <c r="AO178" s="69"/>
      <c r="AP178" s="69"/>
      <c r="AQ178" s="69">
        <f t="shared" si="88"/>
        <v>705237.67660679575</v>
      </c>
      <c r="AR178" s="69"/>
      <c r="AS178" s="69">
        <f t="shared" si="77"/>
        <v>705237.67660679575</v>
      </c>
      <c r="AT178" s="69">
        <f t="shared" si="78"/>
        <v>705237.67664999992</v>
      </c>
      <c r="AU178" s="72">
        <f t="shared" si="98"/>
        <v>15166401.647457972</v>
      </c>
      <c r="AV178" s="72"/>
      <c r="AW178" s="72"/>
      <c r="AX178" s="73"/>
      <c r="AY178" s="74"/>
      <c r="AZ178" s="74"/>
      <c r="BA178" s="75"/>
      <c r="BB178" s="76">
        <f t="shared" si="90"/>
        <v>15166401.647457972</v>
      </c>
      <c r="BC178" s="76">
        <f t="shared" si="99"/>
        <v>17333030.454237685</v>
      </c>
      <c r="BD178" s="77"/>
      <c r="BE178" s="77"/>
      <c r="BF178" s="77"/>
      <c r="BG178" s="78">
        <f t="shared" si="100"/>
        <v>20221868.863277297</v>
      </c>
      <c r="BH178" s="78"/>
      <c r="BI178" s="78">
        <f t="shared" si="79"/>
        <v>-4.3204170651733875E-5</v>
      </c>
      <c r="BJ178" s="79">
        <f t="shared" si="80"/>
        <v>31343896.738079812</v>
      </c>
      <c r="BK178" s="79">
        <v>31343896.739999998</v>
      </c>
      <c r="BL178" s="79">
        <v>10000000</v>
      </c>
      <c r="BM178" s="80"/>
      <c r="BN178" s="81" t="s">
        <v>64</v>
      </c>
    </row>
    <row r="179" spans="1:66" s="81" customFormat="1" ht="38.25">
      <c r="A179" s="56">
        <f t="shared" si="87"/>
        <v>136</v>
      </c>
      <c r="B179" s="57" t="s">
        <v>312</v>
      </c>
      <c r="C179" s="58" t="s">
        <v>313</v>
      </c>
      <c r="D179" s="57" t="s">
        <v>120</v>
      </c>
      <c r="E179" s="57" t="s">
        <v>65</v>
      </c>
      <c r="F179" s="57"/>
      <c r="G179" s="57"/>
      <c r="H179" s="60">
        <v>43556</v>
      </c>
      <c r="I179" s="323" t="s">
        <v>315</v>
      </c>
      <c r="J179" s="62">
        <v>10000000</v>
      </c>
      <c r="K179" s="63">
        <v>7.7499999999999999E-2</v>
      </c>
      <c r="L179" s="63">
        <v>7.4999999999999997E-2</v>
      </c>
      <c r="M179" s="64">
        <v>0.9</v>
      </c>
      <c r="N179" s="65">
        <v>8</v>
      </c>
      <c r="O179" s="65">
        <v>4</v>
      </c>
      <c r="P179" s="64">
        <v>12</v>
      </c>
      <c r="Q179" s="65">
        <f t="shared" si="95"/>
        <v>465000</v>
      </c>
      <c r="R179" s="65">
        <f t="shared" si="93"/>
        <v>6066560.6589831896</v>
      </c>
      <c r="S179" s="65">
        <f t="shared" si="96"/>
        <v>282095.07064271829</v>
      </c>
      <c r="T179" s="65">
        <f t="shared" si="94"/>
        <v>182904.92935728171</v>
      </c>
      <c r="U179" s="66">
        <v>0.606656065898319</v>
      </c>
      <c r="V179" s="65"/>
      <c r="W179" s="64"/>
      <c r="X179" s="65">
        <f t="shared" si="91"/>
        <v>6066560.6589831896</v>
      </c>
      <c r="Y179" s="65">
        <f t="shared" si="91"/>
        <v>282095.07064271829</v>
      </c>
      <c r="Z179" s="67">
        <f t="shared" si="92"/>
        <v>6066560.6589831896</v>
      </c>
      <c r="AA179" s="67">
        <f t="shared" si="92"/>
        <v>282095.07064271829</v>
      </c>
      <c r="AB179" s="67"/>
      <c r="AC179" s="67"/>
      <c r="AD179" s="67">
        <f t="shared" si="101"/>
        <v>282095.07064271829</v>
      </c>
      <c r="AE179" s="68">
        <v>0</v>
      </c>
      <c r="AF179" s="68">
        <f t="shared" si="97"/>
        <v>5392498.3635406131</v>
      </c>
      <c r="AG179" s="68"/>
      <c r="AH179" s="69"/>
      <c r="AI179" s="69"/>
      <c r="AJ179" s="70"/>
      <c r="AK179" s="70"/>
      <c r="AL179" s="71"/>
      <c r="AM179" s="69">
        <f t="shared" si="89"/>
        <v>282095.07064271829</v>
      </c>
      <c r="AN179" s="69"/>
      <c r="AO179" s="69"/>
      <c r="AP179" s="69"/>
      <c r="AQ179" s="69">
        <f t="shared" si="88"/>
        <v>282095.07064271829</v>
      </c>
      <c r="AR179" s="69"/>
      <c r="AS179" s="69">
        <f t="shared" si="77"/>
        <v>282095.07064271829</v>
      </c>
      <c r="AT179" s="69">
        <f t="shared" si="78"/>
        <v>282095.07075000001</v>
      </c>
      <c r="AU179" s="72">
        <f t="shared" si="98"/>
        <v>6066560.6589831896</v>
      </c>
      <c r="AV179" s="72"/>
      <c r="AW179" s="72"/>
      <c r="AX179" s="73"/>
      <c r="AY179" s="74"/>
      <c r="AZ179" s="74"/>
      <c r="BA179" s="75"/>
      <c r="BB179" s="76">
        <f t="shared" si="90"/>
        <v>6066560.6589831896</v>
      </c>
      <c r="BC179" s="76">
        <f t="shared" si="99"/>
        <v>6933212.1816950738</v>
      </c>
      <c r="BD179" s="77"/>
      <c r="BE179" s="77"/>
      <c r="BF179" s="77"/>
      <c r="BG179" s="78">
        <f t="shared" si="100"/>
        <v>8088747.5453109201</v>
      </c>
      <c r="BH179" s="78"/>
      <c r="BI179" s="78">
        <f t="shared" si="79"/>
        <v>-1.0728172492235899E-4</v>
      </c>
      <c r="BJ179" s="79">
        <f t="shared" si="80"/>
        <v>12537558.695231924</v>
      </c>
      <c r="BK179" s="79">
        <v>12537558.699999999</v>
      </c>
      <c r="BL179" s="79"/>
      <c r="BM179" s="80"/>
      <c r="BN179" s="56" t="s">
        <v>76</v>
      </c>
    </row>
    <row r="180" spans="1:66" s="81" customFormat="1" ht="38.25">
      <c r="A180" s="56">
        <f t="shared" si="87"/>
        <v>137</v>
      </c>
      <c r="B180" s="57" t="s">
        <v>312</v>
      </c>
      <c r="C180" s="58" t="s">
        <v>313</v>
      </c>
      <c r="D180" s="57" t="s">
        <v>120</v>
      </c>
      <c r="E180" s="57" t="s">
        <v>65</v>
      </c>
      <c r="F180" s="57"/>
      <c r="G180" s="57"/>
      <c r="H180" s="60">
        <v>43709</v>
      </c>
      <c r="I180" s="60">
        <v>43709</v>
      </c>
      <c r="J180" s="62">
        <v>15000000</v>
      </c>
      <c r="K180" s="63">
        <v>7.7499999999999999E-2</v>
      </c>
      <c r="L180" s="63">
        <v>7.4999999999999997E-2</v>
      </c>
      <c r="M180" s="64">
        <v>0.9</v>
      </c>
      <c r="N180" s="65">
        <v>3</v>
      </c>
      <c r="O180" s="65">
        <v>2</v>
      </c>
      <c r="P180" s="64">
        <v>12</v>
      </c>
      <c r="Q180" s="65">
        <f t="shared" si="95"/>
        <v>261562.5</v>
      </c>
      <c r="R180" s="65">
        <f t="shared" si="93"/>
        <v>9099840.9884747844</v>
      </c>
      <c r="S180" s="65">
        <f t="shared" si="96"/>
        <v>158678.47723652906</v>
      </c>
      <c r="T180" s="65">
        <f t="shared" si="94"/>
        <v>102884.02276347094</v>
      </c>
      <c r="U180" s="66">
        <v>0.606656065898319</v>
      </c>
      <c r="V180" s="65"/>
      <c r="W180" s="64"/>
      <c r="X180" s="65">
        <f t="shared" si="91"/>
        <v>9099840.9884747844</v>
      </c>
      <c r="Y180" s="65">
        <f t="shared" si="91"/>
        <v>158678.47723652906</v>
      </c>
      <c r="Z180" s="67">
        <f t="shared" si="92"/>
        <v>9099840.9884747844</v>
      </c>
      <c r="AA180" s="67">
        <f t="shared" si="92"/>
        <v>158678.47723652906</v>
      </c>
      <c r="AB180" s="67"/>
      <c r="AC180" s="67"/>
      <c r="AD180" s="67">
        <f t="shared" si="101"/>
        <v>158678.47723652906</v>
      </c>
      <c r="AE180" s="68">
        <v>0</v>
      </c>
      <c r="AF180" s="68">
        <f t="shared" si="97"/>
        <v>3033280.3294915948</v>
      </c>
      <c r="AG180" s="68"/>
      <c r="AH180" s="69"/>
      <c r="AI180" s="69"/>
      <c r="AJ180" s="70"/>
      <c r="AK180" s="70"/>
      <c r="AL180" s="71"/>
      <c r="AM180" s="69">
        <f t="shared" si="89"/>
        <v>158678.47723652906</v>
      </c>
      <c r="AN180" s="69"/>
      <c r="AO180" s="69"/>
      <c r="AP180" s="69"/>
      <c r="AQ180" s="69">
        <f t="shared" si="88"/>
        <v>158678.47723652906</v>
      </c>
      <c r="AR180" s="69"/>
      <c r="AS180" s="69">
        <f t="shared" si="77"/>
        <v>158678.47723652906</v>
      </c>
      <c r="AT180" s="69">
        <f t="shared" si="78"/>
        <v>25167.252600000054</v>
      </c>
      <c r="AU180" s="72">
        <f t="shared" si="98"/>
        <v>3412440.3706780439</v>
      </c>
      <c r="AV180" s="72"/>
      <c r="AW180" s="72"/>
      <c r="AX180" s="73"/>
      <c r="AY180" s="74"/>
      <c r="AZ180" s="74"/>
      <c r="BA180" s="75"/>
      <c r="BB180" s="76">
        <f t="shared" si="90"/>
        <v>3412440.3706780439</v>
      </c>
      <c r="BC180" s="76">
        <f t="shared" si="99"/>
        <v>3899931.852203479</v>
      </c>
      <c r="BD180" s="77"/>
      <c r="BE180" s="77"/>
      <c r="BF180" s="77"/>
      <c r="BG180" s="78">
        <f t="shared" si="100"/>
        <v>4549920.4942373922</v>
      </c>
      <c r="BH180" s="78"/>
      <c r="BI180" s="78">
        <f t="shared" si="79"/>
        <v>133511.22463652899</v>
      </c>
      <c r="BJ180" s="79">
        <f t="shared" si="80"/>
        <v>7052376.7660679594</v>
      </c>
      <c r="BK180" s="79">
        <f>45000000-BK178-BK179</f>
        <v>1118544.5600000024</v>
      </c>
      <c r="BL180" s="79">
        <v>5000000</v>
      </c>
      <c r="BM180" s="80"/>
      <c r="BN180" s="56" t="s">
        <v>76</v>
      </c>
    </row>
    <row r="181" spans="1:66" s="5" customFormat="1" ht="25.5">
      <c r="A181" s="126">
        <f t="shared" si="87"/>
        <v>138</v>
      </c>
      <c r="B181" s="117" t="s">
        <v>316</v>
      </c>
      <c r="C181" s="118" t="s">
        <v>317</v>
      </c>
      <c r="D181" s="127" t="s">
        <v>318</v>
      </c>
      <c r="E181" s="141" t="s">
        <v>98</v>
      </c>
      <c r="F181" s="127"/>
      <c r="G181" s="127"/>
      <c r="H181" s="129">
        <v>43497</v>
      </c>
      <c r="I181" s="60" t="s">
        <v>117</v>
      </c>
      <c r="J181" s="130">
        <v>40000000</v>
      </c>
      <c r="K181" s="142">
        <v>7.7499999999999999E-2</v>
      </c>
      <c r="L181" s="63">
        <v>7.4999999999999997E-2</v>
      </c>
      <c r="M181" s="133">
        <v>0.9</v>
      </c>
      <c r="N181" s="131">
        <v>10</v>
      </c>
      <c r="O181" s="131">
        <v>4</v>
      </c>
      <c r="P181" s="133">
        <v>12</v>
      </c>
      <c r="Q181" s="131">
        <f t="shared" si="95"/>
        <v>2325000</v>
      </c>
      <c r="R181" s="131">
        <f t="shared" si="93"/>
        <v>24266242.635932758</v>
      </c>
      <c r="S181" s="131">
        <f t="shared" si="96"/>
        <v>1410475.3532135915</v>
      </c>
      <c r="T181" s="131">
        <f t="shared" si="94"/>
        <v>914524.6467864085</v>
      </c>
      <c r="U181" s="132">
        <v>0.606656065898319</v>
      </c>
      <c r="V181" s="131"/>
      <c r="W181" s="133"/>
      <c r="X181" s="131">
        <f t="shared" si="91"/>
        <v>24266242.635932758</v>
      </c>
      <c r="Y181" s="131">
        <f t="shared" si="91"/>
        <v>1410475.3532135915</v>
      </c>
      <c r="Z181" s="134">
        <f t="shared" si="92"/>
        <v>24266242.635932758</v>
      </c>
      <c r="AA181" s="134">
        <f t="shared" si="92"/>
        <v>1410475.3532135915</v>
      </c>
      <c r="AB181" s="134">
        <v>1395000</v>
      </c>
      <c r="AC181" s="134"/>
      <c r="AD181" s="134">
        <f t="shared" si="101"/>
        <v>15475.353213591501</v>
      </c>
      <c r="AE181" s="135">
        <v>-10733757.364067242</v>
      </c>
      <c r="AF181" s="135">
        <f t="shared" si="97"/>
        <v>295825.15103639662</v>
      </c>
      <c r="AG181" s="135"/>
      <c r="AH181" s="70"/>
      <c r="AI181" s="70"/>
      <c r="AJ181" s="70"/>
      <c r="AK181" s="70"/>
      <c r="AL181" s="71"/>
      <c r="AM181" s="69">
        <f t="shared" si="89"/>
        <v>15475.353213591501</v>
      </c>
      <c r="AN181" s="69"/>
      <c r="AO181" s="69"/>
      <c r="AP181" s="69"/>
      <c r="AQ181" s="69">
        <f t="shared" si="88"/>
        <v>15475.353213591501</v>
      </c>
      <c r="AR181" s="69"/>
      <c r="AS181" s="69">
        <f t="shared" si="77"/>
        <v>15475.353213591501</v>
      </c>
      <c r="AT181" s="69">
        <f t="shared" si="78"/>
        <v>15475.353300000001</v>
      </c>
      <c r="AU181" s="136">
        <f t="shared" si="98"/>
        <v>332803.29491594626</v>
      </c>
      <c r="AV181" s="136"/>
      <c r="AW181" s="136"/>
      <c r="AX181" s="74"/>
      <c r="AY181" s="74"/>
      <c r="AZ181" s="74"/>
      <c r="BA181" s="75"/>
      <c r="BB181" s="76">
        <f t="shared" si="90"/>
        <v>332803.29491594626</v>
      </c>
      <c r="BC181" s="76">
        <f t="shared" si="99"/>
        <v>380346.62276108144</v>
      </c>
      <c r="BD181" s="138"/>
      <c r="BE181" s="138"/>
      <c r="BF181" s="138"/>
      <c r="BG181" s="78">
        <f t="shared" si="100"/>
        <v>443737.72655459505</v>
      </c>
      <c r="BH181" s="78"/>
      <c r="BI181" s="78">
        <f t="shared" si="79"/>
        <v>-8.6408499555545859E-5</v>
      </c>
      <c r="BJ181" s="79">
        <f t="shared" si="80"/>
        <v>687793.47615962219</v>
      </c>
      <c r="BK181" s="79">
        <v>687793.48</v>
      </c>
      <c r="BL181" s="79">
        <v>10000000</v>
      </c>
      <c r="BM181" s="144" t="s">
        <v>99</v>
      </c>
      <c r="BN181" s="117" t="s">
        <v>111</v>
      </c>
    </row>
    <row r="182" spans="1:66" s="112" customFormat="1" ht="38.25">
      <c r="A182" s="84">
        <f t="shared" si="87"/>
        <v>139</v>
      </c>
      <c r="B182" s="85" t="s">
        <v>319</v>
      </c>
      <c r="C182" s="86" t="s">
        <v>320</v>
      </c>
      <c r="D182" s="85" t="s">
        <v>311</v>
      </c>
      <c r="E182" s="87" t="s">
        <v>98</v>
      </c>
      <c r="F182" s="89"/>
      <c r="G182" s="89"/>
      <c r="H182" s="90">
        <v>43497</v>
      </c>
      <c r="I182" s="90">
        <v>43497</v>
      </c>
      <c r="J182" s="91">
        <v>10000000</v>
      </c>
      <c r="K182" s="92">
        <v>7.7499999999999999E-2</v>
      </c>
      <c r="L182" s="63">
        <v>7.4999999999999997E-2</v>
      </c>
      <c r="M182" s="93">
        <v>0.9</v>
      </c>
      <c r="N182" s="94">
        <v>10</v>
      </c>
      <c r="O182" s="94"/>
      <c r="P182" s="93">
        <v>12</v>
      </c>
      <c r="Q182" s="95">
        <f t="shared" si="95"/>
        <v>581250</v>
      </c>
      <c r="R182" s="94">
        <f t="shared" si="93"/>
        <v>6066560.6589831896</v>
      </c>
      <c r="S182" s="95">
        <f t="shared" si="96"/>
        <v>352618.83830339788</v>
      </c>
      <c r="T182" s="95">
        <f t="shared" si="94"/>
        <v>228631.16169660212</v>
      </c>
      <c r="U182" s="96">
        <v>0.606656065898319</v>
      </c>
      <c r="V182" s="94"/>
      <c r="W182" s="97"/>
      <c r="X182" s="95">
        <f t="shared" si="91"/>
        <v>6066560.6589831896</v>
      </c>
      <c r="Y182" s="95">
        <f t="shared" si="91"/>
        <v>352618.83830339788</v>
      </c>
      <c r="Z182" s="98">
        <f t="shared" si="92"/>
        <v>6066560.6589831896</v>
      </c>
      <c r="AA182" s="98">
        <f>SUM(Y182)-25254.4</f>
        <v>327364.43830339785</v>
      </c>
      <c r="AB182" s="98">
        <f>581249.99-AB183-AB184</f>
        <v>327364.42999999993</v>
      </c>
      <c r="AC182" s="98"/>
      <c r="AD182" s="98">
        <f t="shared" si="101"/>
        <v>8.303397917188704E-3</v>
      </c>
      <c r="AE182" s="100">
        <v>3.2375816255807877E-2</v>
      </c>
      <c r="AF182" s="100">
        <f t="shared" si="97"/>
        <v>0.15872684190563829</v>
      </c>
      <c r="AG182" s="100"/>
      <c r="AH182" s="101"/>
      <c r="AI182" s="101"/>
      <c r="AJ182" s="101"/>
      <c r="AK182" s="101"/>
      <c r="AL182" s="101"/>
      <c r="AM182" s="104">
        <f t="shared" si="89"/>
        <v>8.303397917188704E-3</v>
      </c>
      <c r="AN182" s="104"/>
      <c r="AO182" s="104"/>
      <c r="AP182" s="104"/>
      <c r="AQ182" s="104">
        <f t="shared" si="88"/>
        <v>8.303397917188704E-3</v>
      </c>
      <c r="AR182" s="104"/>
      <c r="AS182" s="104">
        <f t="shared" si="77"/>
        <v>8.303397917188704E-3</v>
      </c>
      <c r="AT182" s="104">
        <f t="shared" si="78"/>
        <v>0</v>
      </c>
      <c r="AU182" s="181">
        <f t="shared" si="98"/>
        <v>0.1785676971438431</v>
      </c>
      <c r="AV182" s="106"/>
      <c r="AW182" s="106"/>
      <c r="AX182" s="107"/>
      <c r="AY182" s="107"/>
      <c r="AZ182" s="107"/>
      <c r="BA182" s="107"/>
      <c r="BB182" s="108">
        <f t="shared" si="90"/>
        <v>0.1785676971438431</v>
      </c>
      <c r="BC182" s="108">
        <f t="shared" si="99"/>
        <v>0.20407736816439215</v>
      </c>
      <c r="BD182" s="109"/>
      <c r="BE182" s="109"/>
      <c r="BF182" s="109"/>
      <c r="BG182" s="110">
        <f t="shared" si="100"/>
        <v>0.23809026285845747</v>
      </c>
      <c r="BH182" s="110"/>
      <c r="BI182" s="110">
        <f t="shared" si="79"/>
        <v>8.303397917188704E-3</v>
      </c>
      <c r="BJ182" s="116">
        <f t="shared" si="80"/>
        <v>0.36903990743060905</v>
      </c>
      <c r="BK182" s="116"/>
      <c r="BL182" s="79"/>
      <c r="BM182" s="111"/>
    </row>
    <row r="183" spans="1:66" s="112" customFormat="1" ht="25.5">
      <c r="A183" s="84">
        <f t="shared" si="87"/>
        <v>140</v>
      </c>
      <c r="B183" s="85" t="s">
        <v>319</v>
      </c>
      <c r="C183" s="86" t="s">
        <v>320</v>
      </c>
      <c r="D183" s="85" t="s">
        <v>120</v>
      </c>
      <c r="E183" s="87" t="s">
        <v>98</v>
      </c>
      <c r="F183" s="89"/>
      <c r="G183" s="89"/>
      <c r="H183" s="90">
        <v>43556</v>
      </c>
      <c r="I183" s="90">
        <v>43556</v>
      </c>
      <c r="J183" s="91">
        <v>6000000</v>
      </c>
      <c r="K183" s="92">
        <v>7.7499999999999999E-2</v>
      </c>
      <c r="L183" s="63">
        <v>7.4999999999999997E-2</v>
      </c>
      <c r="M183" s="93">
        <v>0.9</v>
      </c>
      <c r="N183" s="94">
        <v>8</v>
      </c>
      <c r="O183" s="94"/>
      <c r="P183" s="93">
        <v>12</v>
      </c>
      <c r="Q183" s="95">
        <f t="shared" si="95"/>
        <v>279000</v>
      </c>
      <c r="R183" s="94">
        <f t="shared" si="93"/>
        <v>3639936.395389914</v>
      </c>
      <c r="S183" s="95">
        <f t="shared" si="96"/>
        <v>169257.04238563101</v>
      </c>
      <c r="T183" s="95">
        <f t="shared" si="94"/>
        <v>109742.95761436899</v>
      </c>
      <c r="U183" s="96">
        <v>0.606656065898319</v>
      </c>
      <c r="V183" s="94"/>
      <c r="W183" s="97"/>
      <c r="X183" s="95">
        <f t="shared" si="91"/>
        <v>3639936.395389914</v>
      </c>
      <c r="Y183" s="95">
        <f t="shared" si="91"/>
        <v>169257.04238563101</v>
      </c>
      <c r="Z183" s="98">
        <f t="shared" si="92"/>
        <v>3639936.395389914</v>
      </c>
      <c r="AA183" s="98">
        <f t="shared" si="92"/>
        <v>169257.04238563101</v>
      </c>
      <c r="AB183" s="98">
        <v>169257.04</v>
      </c>
      <c r="AC183" s="98"/>
      <c r="AD183" s="98">
        <f t="shared" si="101"/>
        <v>2.385630999924615E-3</v>
      </c>
      <c r="AE183" s="100">
        <v>0</v>
      </c>
      <c r="AF183" s="100">
        <f t="shared" si="97"/>
        <v>4.5603459974664085E-2</v>
      </c>
      <c r="AG183" s="100"/>
      <c r="AH183" s="101"/>
      <c r="AI183" s="101"/>
      <c r="AJ183" s="101"/>
      <c r="AK183" s="101"/>
      <c r="AL183" s="101"/>
      <c r="AM183" s="104">
        <f t="shared" si="89"/>
        <v>2.385630999924615E-3</v>
      </c>
      <c r="AN183" s="104"/>
      <c r="AO183" s="104"/>
      <c r="AP183" s="104"/>
      <c r="AQ183" s="104">
        <f t="shared" si="88"/>
        <v>2.385630999924615E-3</v>
      </c>
      <c r="AR183" s="104"/>
      <c r="AS183" s="104">
        <f t="shared" si="77"/>
        <v>2.385630999924615E-3</v>
      </c>
      <c r="AT183" s="104">
        <f t="shared" si="78"/>
        <v>0</v>
      </c>
      <c r="AU183" s="181">
        <f t="shared" si="98"/>
        <v>5.1303892471497095E-2</v>
      </c>
      <c r="AV183" s="106"/>
      <c r="AW183" s="106"/>
      <c r="AX183" s="107"/>
      <c r="AY183" s="107"/>
      <c r="AZ183" s="107"/>
      <c r="BA183" s="107"/>
      <c r="BB183" s="108">
        <f t="shared" si="90"/>
        <v>5.1303892471497095E-2</v>
      </c>
      <c r="BC183" s="108">
        <f t="shared" si="99"/>
        <v>5.8633019967425259E-2</v>
      </c>
      <c r="BD183" s="109"/>
      <c r="BE183" s="109"/>
      <c r="BF183" s="109"/>
      <c r="BG183" s="110">
        <f t="shared" si="100"/>
        <v>6.8405189961996127E-2</v>
      </c>
      <c r="BH183" s="110"/>
      <c r="BI183" s="110">
        <f t="shared" si="79"/>
        <v>2.385630999924615E-3</v>
      </c>
      <c r="BJ183" s="116">
        <f t="shared" si="80"/>
        <v>0.106028044441094</v>
      </c>
      <c r="BK183" s="116"/>
      <c r="BL183" s="79"/>
      <c r="BM183" s="111"/>
    </row>
    <row r="184" spans="1:66" s="112" customFormat="1" ht="25.5">
      <c r="A184" s="84">
        <f t="shared" si="87"/>
        <v>141</v>
      </c>
      <c r="B184" s="85" t="s">
        <v>319</v>
      </c>
      <c r="C184" s="86" t="s">
        <v>320</v>
      </c>
      <c r="D184" s="85" t="s">
        <v>120</v>
      </c>
      <c r="E184" s="87" t="s">
        <v>98</v>
      </c>
      <c r="F184" s="89"/>
      <c r="G184" s="89"/>
      <c r="H184" s="90">
        <v>43739</v>
      </c>
      <c r="I184" s="90">
        <v>43739</v>
      </c>
      <c r="J184" s="91">
        <v>12000000</v>
      </c>
      <c r="K184" s="92">
        <v>7.7499999999999999E-2</v>
      </c>
      <c r="L184" s="63">
        <v>7.4999999999999997E-2</v>
      </c>
      <c r="M184" s="93">
        <v>0.9</v>
      </c>
      <c r="N184" s="94">
        <v>2</v>
      </c>
      <c r="O184" s="94"/>
      <c r="P184" s="93">
        <v>12</v>
      </c>
      <c r="Q184" s="95">
        <f t="shared" si="95"/>
        <v>139500</v>
      </c>
      <c r="R184" s="94">
        <f t="shared" si="93"/>
        <v>7279872.7907798281</v>
      </c>
      <c r="S184" s="95">
        <f t="shared" si="96"/>
        <v>84628.521192815504</v>
      </c>
      <c r="T184" s="95">
        <f t="shared" si="94"/>
        <v>54871.478807184496</v>
      </c>
      <c r="U184" s="96">
        <v>0.606656065898319</v>
      </c>
      <c r="V184" s="94"/>
      <c r="W184" s="97"/>
      <c r="X184" s="95">
        <f t="shared" si="91"/>
        <v>7279872.7907798281</v>
      </c>
      <c r="Y184" s="95">
        <f t="shared" si="91"/>
        <v>84628.521192815504</v>
      </c>
      <c r="Z184" s="98">
        <f t="shared" si="92"/>
        <v>7279872.7907798281</v>
      </c>
      <c r="AA184" s="98">
        <f t="shared" si="92"/>
        <v>84628.521192815504</v>
      </c>
      <c r="AB184" s="98">
        <v>84628.52</v>
      </c>
      <c r="AC184" s="98"/>
      <c r="AD184" s="98">
        <f t="shared" si="101"/>
        <v>1.1928154999623075E-3</v>
      </c>
      <c r="AE184" s="100">
        <v>0</v>
      </c>
      <c r="AF184" s="100">
        <f t="shared" si="97"/>
        <v>2.2801729987332042E-2</v>
      </c>
      <c r="AG184" s="100"/>
      <c r="AH184" s="101"/>
      <c r="AI184" s="101"/>
      <c r="AJ184" s="101"/>
      <c r="AK184" s="101"/>
      <c r="AL184" s="101"/>
      <c r="AM184" s="104">
        <f t="shared" si="89"/>
        <v>1.1928154999623075E-3</v>
      </c>
      <c r="AN184" s="104"/>
      <c r="AO184" s="104"/>
      <c r="AP184" s="104"/>
      <c r="AQ184" s="104">
        <f t="shared" si="88"/>
        <v>1.1928154999623075E-3</v>
      </c>
      <c r="AR184" s="104"/>
      <c r="AS184" s="104">
        <f t="shared" si="77"/>
        <v>1.1928154999623075E-3</v>
      </c>
      <c r="AT184" s="104">
        <f t="shared" si="78"/>
        <v>0</v>
      </c>
      <c r="AU184" s="181">
        <f t="shared" si="98"/>
        <v>2.5651946235748548E-2</v>
      </c>
      <c r="AV184" s="106"/>
      <c r="AW184" s="106"/>
      <c r="AX184" s="107"/>
      <c r="AY184" s="107"/>
      <c r="AZ184" s="107"/>
      <c r="BA184" s="107"/>
      <c r="BB184" s="108">
        <f t="shared" si="90"/>
        <v>2.5651946235748548E-2</v>
      </c>
      <c r="BC184" s="108">
        <f t="shared" si="99"/>
        <v>2.931650998371263E-2</v>
      </c>
      <c r="BD184" s="109"/>
      <c r="BE184" s="109"/>
      <c r="BF184" s="109"/>
      <c r="BG184" s="110">
        <f t="shared" si="100"/>
        <v>3.4202594980998063E-2</v>
      </c>
      <c r="BH184" s="110"/>
      <c r="BI184" s="110">
        <f t="shared" si="79"/>
        <v>1.1928154999623075E-3</v>
      </c>
      <c r="BJ184" s="116">
        <f t="shared" si="80"/>
        <v>5.3014022220546998E-2</v>
      </c>
      <c r="BK184" s="116"/>
      <c r="BL184" s="79"/>
      <c r="BM184" s="111"/>
    </row>
    <row r="185" spans="1:66" s="211" customFormat="1" ht="25.5" hidden="1">
      <c r="A185" s="194"/>
      <c r="B185" s="151" t="s">
        <v>319</v>
      </c>
      <c r="C185" s="152" t="s">
        <v>320</v>
      </c>
      <c r="D185" s="151"/>
      <c r="E185" s="117"/>
      <c r="F185" s="151"/>
      <c r="G185" s="151"/>
      <c r="H185" s="195"/>
      <c r="I185" s="195"/>
      <c r="J185" s="196"/>
      <c r="K185" s="197"/>
      <c r="L185" s="324">
        <v>7.4999999999999997E-2</v>
      </c>
      <c r="M185" s="325">
        <v>0.9</v>
      </c>
      <c r="N185" s="326">
        <v>10</v>
      </c>
      <c r="O185" s="326">
        <v>4</v>
      </c>
      <c r="P185" s="325">
        <v>12</v>
      </c>
      <c r="Q185" s="198"/>
      <c r="R185" s="198"/>
      <c r="S185" s="198"/>
      <c r="T185" s="198"/>
      <c r="U185" s="199"/>
      <c r="V185" s="198"/>
      <c r="W185" s="200"/>
      <c r="X185" s="198"/>
      <c r="Y185" s="198"/>
      <c r="Z185" s="201"/>
      <c r="AA185" s="201"/>
      <c r="AB185" s="201"/>
      <c r="AC185" s="201"/>
      <c r="AD185" s="201"/>
      <c r="AE185" s="202"/>
      <c r="AF185" s="202"/>
      <c r="AG185" s="202"/>
      <c r="AH185" s="203"/>
      <c r="AI185" s="203"/>
      <c r="AJ185" s="203"/>
      <c r="AK185" s="203"/>
      <c r="AL185" s="203"/>
      <c r="AM185" s="204"/>
      <c r="AN185" s="204"/>
      <c r="AO185" s="204"/>
      <c r="AP185" s="204"/>
      <c r="AQ185" s="204"/>
      <c r="AR185" s="204"/>
      <c r="AS185" s="69">
        <f t="shared" si="77"/>
        <v>0</v>
      </c>
      <c r="AT185" s="69">
        <f t="shared" si="78"/>
        <v>0</v>
      </c>
      <c r="AU185" s="205"/>
      <c r="AV185" s="206"/>
      <c r="AW185" s="206"/>
      <c r="AX185" s="207"/>
      <c r="AY185" s="207"/>
      <c r="AZ185" s="207"/>
      <c r="BA185" s="207"/>
      <c r="BB185" s="208"/>
      <c r="BC185" s="208"/>
      <c r="BD185" s="209"/>
      <c r="BE185" s="209"/>
      <c r="BF185" s="209"/>
      <c r="BG185" s="210"/>
      <c r="BH185" s="210"/>
      <c r="BI185" s="78">
        <f t="shared" si="79"/>
        <v>0</v>
      </c>
      <c r="BJ185" s="79">
        <f t="shared" si="80"/>
        <v>0</v>
      </c>
      <c r="BK185" s="79"/>
      <c r="BL185" s="143">
        <v>12000000</v>
      </c>
      <c r="BM185" s="144" t="s">
        <v>99</v>
      </c>
      <c r="BN185" s="145" t="s">
        <v>180</v>
      </c>
    </row>
    <row r="186" spans="1:66" s="112" customFormat="1" ht="25.5">
      <c r="A186" s="84">
        <f>A184+1</f>
        <v>142</v>
      </c>
      <c r="B186" s="85" t="s">
        <v>321</v>
      </c>
      <c r="C186" s="86" t="s">
        <v>322</v>
      </c>
      <c r="D186" s="85" t="s">
        <v>64</v>
      </c>
      <c r="E186" s="87" t="s">
        <v>65</v>
      </c>
      <c r="F186" s="89"/>
      <c r="G186" s="89"/>
      <c r="H186" s="90">
        <v>43525</v>
      </c>
      <c r="I186" s="90">
        <v>43525</v>
      </c>
      <c r="J186" s="91">
        <v>7000000</v>
      </c>
      <c r="K186" s="92">
        <v>7.7499999999999999E-2</v>
      </c>
      <c r="L186" s="63">
        <v>7.4999999999999997E-2</v>
      </c>
      <c r="M186" s="93">
        <v>0.9</v>
      </c>
      <c r="N186" s="94">
        <v>9</v>
      </c>
      <c r="O186" s="94"/>
      <c r="P186" s="93">
        <v>12</v>
      </c>
      <c r="Q186" s="95">
        <f>J186*K186*M186*N186/P186</f>
        <v>366187.5</v>
      </c>
      <c r="R186" s="94">
        <f t="shared" si="93"/>
        <v>4246592.4612882333</v>
      </c>
      <c r="S186" s="95">
        <f>R186*K186*M186*N186/P186</f>
        <v>222149.86813114071</v>
      </c>
      <c r="T186" s="95">
        <f t="shared" si="94"/>
        <v>144037.63186885929</v>
      </c>
      <c r="U186" s="96">
        <v>0.606656065898319</v>
      </c>
      <c r="V186" s="254">
        <v>5900000</v>
      </c>
      <c r="W186" s="122">
        <v>342937.5</v>
      </c>
      <c r="X186" s="95">
        <f t="shared" si="91"/>
        <v>-1653407.5387117667</v>
      </c>
      <c r="Y186" s="95">
        <f t="shared" si="91"/>
        <v>-120787.63186885929</v>
      </c>
      <c r="Z186" s="98">
        <f t="shared" si="92"/>
        <v>-1653407.5387117667</v>
      </c>
      <c r="AA186" s="98">
        <f t="shared" si="92"/>
        <v>-120787.63186885929</v>
      </c>
      <c r="AB186" s="98"/>
      <c r="AC186" s="98"/>
      <c r="AD186" s="98">
        <f t="shared" si="101"/>
        <v>-120787.63186885929</v>
      </c>
      <c r="AE186" s="100">
        <v>-3440095.4069151278</v>
      </c>
      <c r="AF186" s="100">
        <f>AD186/K186/M186/9*P186</f>
        <v>-2308963.0942673222</v>
      </c>
      <c r="AG186" s="100"/>
      <c r="AH186" s="101"/>
      <c r="AI186" s="101"/>
      <c r="AJ186" s="101"/>
      <c r="AK186" s="101"/>
      <c r="AL186" s="101"/>
      <c r="AM186" s="104">
        <f t="shared" si="89"/>
        <v>-120787.63186885929</v>
      </c>
      <c r="AN186" s="104"/>
      <c r="AO186" s="104"/>
      <c r="AP186" s="104"/>
      <c r="AQ186" s="104">
        <f t="shared" si="88"/>
        <v>-120787.63186885929</v>
      </c>
      <c r="AR186" s="104"/>
      <c r="AS186" s="104">
        <f t="shared" si="77"/>
        <v>-120787.63186885929</v>
      </c>
      <c r="AT186" s="104">
        <f t="shared" si="78"/>
        <v>0</v>
      </c>
      <c r="AU186" s="105">
        <f>AD186/K186/M186/8*P186</f>
        <v>-2597583.4810507372</v>
      </c>
      <c r="AV186" s="106"/>
      <c r="AW186" s="106"/>
      <c r="AX186" s="107"/>
      <c r="AY186" s="107"/>
      <c r="AZ186" s="107"/>
      <c r="BA186" s="107"/>
      <c r="BB186" s="108">
        <f t="shared" si="90"/>
        <v>-2597583.4810507372</v>
      </c>
      <c r="BC186" s="108">
        <f>AM186/K186/M186/7*P186</f>
        <v>-2968666.8354865569</v>
      </c>
      <c r="BD186" s="109"/>
      <c r="BE186" s="109"/>
      <c r="BF186" s="109"/>
      <c r="BG186" s="110">
        <f>AQ186/K186/M186/6*P186</f>
        <v>-3463444.6414009836</v>
      </c>
      <c r="BH186" s="110"/>
      <c r="BI186" s="110"/>
      <c r="BJ186" s="123">
        <f t="shared" si="80"/>
        <v>-5368339.1941715237</v>
      </c>
      <c r="BK186" s="116"/>
      <c r="BL186" s="79"/>
      <c r="BM186" s="111"/>
    </row>
    <row r="187" spans="1:66" s="112" customFormat="1" ht="25.5">
      <c r="A187" s="84">
        <f t="shared" si="87"/>
        <v>143</v>
      </c>
      <c r="B187" s="85" t="s">
        <v>321</v>
      </c>
      <c r="C187" s="86" t="s">
        <v>322</v>
      </c>
      <c r="D187" s="85" t="s">
        <v>111</v>
      </c>
      <c r="E187" s="87" t="s">
        <v>65</v>
      </c>
      <c r="F187" s="89"/>
      <c r="G187" s="89"/>
      <c r="H187" s="90">
        <v>43525</v>
      </c>
      <c r="I187" s="90">
        <v>43525</v>
      </c>
      <c r="J187" s="91">
        <v>3000000</v>
      </c>
      <c r="K187" s="92">
        <v>7.7499999999999999E-2</v>
      </c>
      <c r="L187" s="63">
        <v>7.4999999999999997E-2</v>
      </c>
      <c r="M187" s="93">
        <v>0.9</v>
      </c>
      <c r="N187" s="94">
        <v>9</v>
      </c>
      <c r="O187" s="94"/>
      <c r="P187" s="93">
        <v>12</v>
      </c>
      <c r="Q187" s="95">
        <f>J187*K187*M187*N187/P187</f>
        <v>156937.5</v>
      </c>
      <c r="R187" s="94">
        <f t="shared" si="93"/>
        <v>1819968.197694957</v>
      </c>
      <c r="S187" s="95">
        <f>R187*K187*M187*N187/P187</f>
        <v>95207.086341917442</v>
      </c>
      <c r="T187" s="95">
        <f t="shared" si="94"/>
        <v>61730.413658082558</v>
      </c>
      <c r="U187" s="96">
        <v>0.606656065898319</v>
      </c>
      <c r="V187" s="254">
        <v>3000000</v>
      </c>
      <c r="W187" s="122">
        <v>174375</v>
      </c>
      <c r="X187" s="95">
        <f t="shared" si="91"/>
        <v>-1180031.802305043</v>
      </c>
      <c r="Y187" s="95">
        <f t="shared" si="91"/>
        <v>-79167.913658082558</v>
      </c>
      <c r="Z187" s="98">
        <f t="shared" si="92"/>
        <v>-1180031.802305043</v>
      </c>
      <c r="AA187" s="98">
        <f t="shared" si="92"/>
        <v>-79167.913658082558</v>
      </c>
      <c r="AB187" s="98"/>
      <c r="AC187" s="98"/>
      <c r="AD187" s="98">
        <f t="shared" si="101"/>
        <v>-79167.913658082558</v>
      </c>
      <c r="AE187" s="100">
        <v>0</v>
      </c>
      <c r="AF187" s="100">
        <f>AD187/K187/M187/9*P187</f>
        <v>-1513365.1356383762</v>
      </c>
      <c r="AG187" s="100"/>
      <c r="AH187" s="101"/>
      <c r="AI187" s="101"/>
      <c r="AJ187" s="101"/>
      <c r="AK187" s="101"/>
      <c r="AL187" s="101"/>
      <c r="AM187" s="104">
        <f t="shared" si="89"/>
        <v>-79167.913658082558</v>
      </c>
      <c r="AN187" s="104"/>
      <c r="AO187" s="104"/>
      <c r="AP187" s="104"/>
      <c r="AQ187" s="104">
        <f t="shared" si="88"/>
        <v>-79167.913658082558</v>
      </c>
      <c r="AR187" s="104"/>
      <c r="AS187" s="104">
        <f t="shared" si="77"/>
        <v>-79167.913658082558</v>
      </c>
      <c r="AT187" s="104">
        <f t="shared" si="78"/>
        <v>0</v>
      </c>
      <c r="AU187" s="105">
        <f>AD187/K187/M187/8*P187</f>
        <v>-1702535.7775931736</v>
      </c>
      <c r="AV187" s="106"/>
      <c r="AW187" s="106"/>
      <c r="AX187" s="107"/>
      <c r="AY187" s="107"/>
      <c r="AZ187" s="107"/>
      <c r="BA187" s="107"/>
      <c r="BB187" s="108">
        <f t="shared" si="90"/>
        <v>-1702535.7775931736</v>
      </c>
      <c r="BC187" s="108">
        <f>AM187/K187/M187/7*P187</f>
        <v>-1945755.1743921982</v>
      </c>
      <c r="BD187" s="109"/>
      <c r="BE187" s="109"/>
      <c r="BF187" s="109"/>
      <c r="BG187" s="110">
        <f>AQ187/K187/M187/6*P187</f>
        <v>-2270047.7034575646</v>
      </c>
      <c r="BH187" s="110"/>
      <c r="BI187" s="110"/>
      <c r="BJ187" s="123">
        <f t="shared" si="80"/>
        <v>-3518573.9403592255</v>
      </c>
      <c r="BK187" s="116"/>
      <c r="BL187" s="79"/>
      <c r="BM187" s="111"/>
    </row>
    <row r="188" spans="1:66" s="170" customFormat="1" ht="25.5" hidden="1">
      <c r="A188" s="150"/>
      <c r="B188" s="151" t="s">
        <v>321</v>
      </c>
      <c r="C188" s="152" t="s">
        <v>322</v>
      </c>
      <c r="D188" s="153"/>
      <c r="E188" s="127" t="s">
        <v>65</v>
      </c>
      <c r="F188" s="153"/>
      <c r="G188" s="153"/>
      <c r="H188" s="155"/>
      <c r="I188" s="155"/>
      <c r="J188" s="156"/>
      <c r="K188" s="157"/>
      <c r="L188" s="63">
        <v>7.4999999999999997E-2</v>
      </c>
      <c r="M188" s="64">
        <v>0.9</v>
      </c>
      <c r="N188" s="65">
        <v>9</v>
      </c>
      <c r="O188" s="65">
        <v>4</v>
      </c>
      <c r="P188" s="64">
        <v>12</v>
      </c>
      <c r="Q188" s="158"/>
      <c r="R188" s="158"/>
      <c r="S188" s="158"/>
      <c r="T188" s="158"/>
      <c r="U188" s="159"/>
      <c r="V188" s="192"/>
      <c r="W188" s="193"/>
      <c r="X188" s="95"/>
      <c r="Y188" s="95"/>
      <c r="Z188" s="98"/>
      <c r="AA188" s="98"/>
      <c r="AB188" s="98"/>
      <c r="AC188" s="98"/>
      <c r="AD188" s="98"/>
      <c r="AE188" s="100"/>
      <c r="AF188" s="100"/>
      <c r="AG188" s="100"/>
      <c r="AH188" s="101"/>
      <c r="AI188" s="101"/>
      <c r="AJ188" s="101"/>
      <c r="AK188" s="101"/>
      <c r="AL188" s="101"/>
      <c r="AM188" s="104"/>
      <c r="AN188" s="104"/>
      <c r="AO188" s="104"/>
      <c r="AP188" s="104"/>
      <c r="AQ188" s="104"/>
      <c r="AR188" s="104"/>
      <c r="AS188" s="104">
        <f t="shared" si="77"/>
        <v>0</v>
      </c>
      <c r="AT188" s="104">
        <f t="shared" si="78"/>
        <v>0</v>
      </c>
      <c r="AU188" s="105"/>
      <c r="AV188" s="106"/>
      <c r="AW188" s="106"/>
      <c r="AX188" s="107"/>
      <c r="AY188" s="107"/>
      <c r="AZ188" s="107"/>
      <c r="BA188" s="107"/>
      <c r="BB188" s="108"/>
      <c r="BC188" s="108"/>
      <c r="BD188" s="109"/>
      <c r="BE188" s="109"/>
      <c r="BF188" s="109"/>
      <c r="BG188" s="110"/>
      <c r="BH188" s="110"/>
      <c r="BI188" s="110">
        <f t="shared" si="79"/>
        <v>0</v>
      </c>
      <c r="BJ188" s="116">
        <f t="shared" si="80"/>
        <v>0</v>
      </c>
      <c r="BK188" s="116"/>
      <c r="BL188" s="169">
        <v>10000000</v>
      </c>
      <c r="BM188" s="186" t="s">
        <v>72</v>
      </c>
      <c r="BN188" s="170" t="s">
        <v>73</v>
      </c>
    </row>
    <row r="189" spans="1:66" s="112" customFormat="1" ht="25.5">
      <c r="A189" s="84">
        <f>A187+1</f>
        <v>144</v>
      </c>
      <c r="B189" s="85" t="s">
        <v>323</v>
      </c>
      <c r="C189" s="86" t="s">
        <v>324</v>
      </c>
      <c r="D189" s="85" t="s">
        <v>111</v>
      </c>
      <c r="E189" s="87" t="s">
        <v>98</v>
      </c>
      <c r="F189" s="89"/>
      <c r="G189" s="89"/>
      <c r="H189" s="90">
        <v>43497</v>
      </c>
      <c r="I189" s="90">
        <v>43497</v>
      </c>
      <c r="J189" s="91">
        <v>10000000</v>
      </c>
      <c r="K189" s="92">
        <v>7.7499999999999999E-2</v>
      </c>
      <c r="L189" s="63">
        <v>7.4999999999999997E-2</v>
      </c>
      <c r="M189" s="93">
        <v>0.9</v>
      </c>
      <c r="N189" s="94">
        <v>10</v>
      </c>
      <c r="O189" s="94"/>
      <c r="P189" s="93">
        <v>12</v>
      </c>
      <c r="Q189" s="95">
        <f>J189*K189*M189*N189/P189</f>
        <v>581250</v>
      </c>
      <c r="R189" s="94">
        <f t="shared" si="93"/>
        <v>6066560.6589831896</v>
      </c>
      <c r="S189" s="95">
        <f>R189*K189*M189*N189/P189</f>
        <v>352618.83830339788</v>
      </c>
      <c r="T189" s="95">
        <f t="shared" si="94"/>
        <v>228631.16169660212</v>
      </c>
      <c r="U189" s="96">
        <v>0.606656065898319</v>
      </c>
      <c r="V189" s="254">
        <v>15000000</v>
      </c>
      <c r="W189" s="122">
        <v>871875</v>
      </c>
      <c r="X189" s="95">
        <f t="shared" si="91"/>
        <v>-8933439.3410168104</v>
      </c>
      <c r="Y189" s="95">
        <f t="shared" si="91"/>
        <v>-519256.16169660212</v>
      </c>
      <c r="Z189" s="98">
        <f t="shared" si="92"/>
        <v>-8933439.3410168104</v>
      </c>
      <c r="AA189" s="98">
        <f t="shared" si="92"/>
        <v>-519256.16169660212</v>
      </c>
      <c r="AB189" s="98"/>
      <c r="AC189" s="98"/>
      <c r="AD189" s="98">
        <f t="shared" si="101"/>
        <v>-519256.16169660212</v>
      </c>
      <c r="AE189" s="100">
        <v>-8933439.3410168104</v>
      </c>
      <c r="AF189" s="100">
        <f>AD189/K189/M189/9*P189</f>
        <v>-9926043.712240899</v>
      </c>
      <c r="AG189" s="100"/>
      <c r="AH189" s="101"/>
      <c r="AI189" s="101"/>
      <c r="AJ189" s="101"/>
      <c r="AK189" s="101"/>
      <c r="AL189" s="101"/>
      <c r="AM189" s="104">
        <f t="shared" si="89"/>
        <v>-519256.16169660212</v>
      </c>
      <c r="AN189" s="104"/>
      <c r="AO189" s="104"/>
      <c r="AP189" s="104"/>
      <c r="AQ189" s="104">
        <f t="shared" si="88"/>
        <v>-519256.16169660212</v>
      </c>
      <c r="AR189" s="104"/>
      <c r="AS189" s="104">
        <f t="shared" si="77"/>
        <v>-519256.16169660212</v>
      </c>
      <c r="AT189" s="104">
        <f t="shared" si="78"/>
        <v>0</v>
      </c>
      <c r="AU189" s="105">
        <f>AD189/K189/M189/8*P189</f>
        <v>-11166799.176271012</v>
      </c>
      <c r="AV189" s="106"/>
      <c r="AW189" s="106"/>
      <c r="AX189" s="107"/>
      <c r="AY189" s="107"/>
      <c r="AZ189" s="107"/>
      <c r="BA189" s="107"/>
      <c r="BB189" s="108">
        <f t="shared" si="90"/>
        <v>-11166799.176271012</v>
      </c>
      <c r="BC189" s="108">
        <f>AM189/K189/M189/7*P189</f>
        <v>-12762056.201452583</v>
      </c>
      <c r="BD189" s="109"/>
      <c r="BE189" s="109"/>
      <c r="BF189" s="109"/>
      <c r="BG189" s="110">
        <f>AQ189/K189/M189/6*P189</f>
        <v>-14889065.568361349</v>
      </c>
      <c r="BH189" s="110"/>
      <c r="BI189" s="110"/>
      <c r="BJ189" s="123">
        <f t="shared" si="80"/>
        <v>-23078051.630960096</v>
      </c>
      <c r="BK189" s="116"/>
      <c r="BL189" s="79"/>
      <c r="BM189" s="111"/>
    </row>
    <row r="190" spans="1:66" s="170" customFormat="1" ht="25.5" hidden="1">
      <c r="A190" s="150"/>
      <c r="B190" s="151" t="s">
        <v>323</v>
      </c>
      <c r="C190" s="152" t="s">
        <v>324</v>
      </c>
      <c r="D190" s="153" t="s">
        <v>111</v>
      </c>
      <c r="E190" s="127" t="s">
        <v>98</v>
      </c>
      <c r="F190" s="153"/>
      <c r="G190" s="153"/>
      <c r="H190" s="155"/>
      <c r="I190" s="155"/>
      <c r="J190" s="156"/>
      <c r="K190" s="157"/>
      <c r="L190" s="63">
        <v>7.4999999999999997E-2</v>
      </c>
      <c r="M190" s="64">
        <v>0.9</v>
      </c>
      <c r="N190" s="65">
        <v>9</v>
      </c>
      <c r="O190" s="65">
        <v>4</v>
      </c>
      <c r="P190" s="64">
        <v>12</v>
      </c>
      <c r="Q190" s="158"/>
      <c r="R190" s="158"/>
      <c r="S190" s="158"/>
      <c r="T190" s="158"/>
      <c r="U190" s="159"/>
      <c r="V190" s="192"/>
      <c r="W190" s="193"/>
      <c r="X190" s="95"/>
      <c r="Y190" s="95"/>
      <c r="Z190" s="98"/>
      <c r="AA190" s="98"/>
      <c r="AB190" s="98"/>
      <c r="AC190" s="98"/>
      <c r="AD190" s="98"/>
      <c r="AE190" s="100"/>
      <c r="AF190" s="100"/>
      <c r="AG190" s="100"/>
      <c r="AH190" s="101"/>
      <c r="AI190" s="101"/>
      <c r="AJ190" s="101"/>
      <c r="AK190" s="101"/>
      <c r="AL190" s="101"/>
      <c r="AM190" s="104"/>
      <c r="AN190" s="104"/>
      <c r="AO190" s="104"/>
      <c r="AP190" s="104"/>
      <c r="AQ190" s="104"/>
      <c r="AR190" s="104"/>
      <c r="AS190" s="104">
        <f t="shared" si="77"/>
        <v>0</v>
      </c>
      <c r="AT190" s="104">
        <f t="shared" si="78"/>
        <v>0</v>
      </c>
      <c r="AU190" s="105"/>
      <c r="AV190" s="106"/>
      <c r="AW190" s="106"/>
      <c r="AX190" s="107"/>
      <c r="AY190" s="107"/>
      <c r="AZ190" s="107"/>
      <c r="BA190" s="107"/>
      <c r="BB190" s="108"/>
      <c r="BC190" s="108"/>
      <c r="BD190" s="109"/>
      <c r="BE190" s="109"/>
      <c r="BF190" s="109"/>
      <c r="BG190" s="110"/>
      <c r="BH190" s="110"/>
      <c r="BI190" s="110">
        <f t="shared" si="79"/>
        <v>0</v>
      </c>
      <c r="BJ190" s="116">
        <f t="shared" si="80"/>
        <v>0</v>
      </c>
      <c r="BK190" s="116"/>
      <c r="BL190" s="169">
        <v>20000000</v>
      </c>
      <c r="BM190" s="186" t="s">
        <v>72</v>
      </c>
      <c r="BN190" s="327" t="s">
        <v>325</v>
      </c>
    </row>
    <row r="191" spans="1:66" s="112" customFormat="1" ht="25.5">
      <c r="A191" s="84">
        <f>A189+1</f>
        <v>145</v>
      </c>
      <c r="B191" s="85" t="s">
        <v>326</v>
      </c>
      <c r="C191" s="86" t="s">
        <v>327</v>
      </c>
      <c r="D191" s="85" t="s">
        <v>120</v>
      </c>
      <c r="E191" s="87" t="s">
        <v>98</v>
      </c>
      <c r="F191" s="89"/>
      <c r="G191" s="89"/>
      <c r="H191" s="90">
        <v>43525</v>
      </c>
      <c r="I191" s="90">
        <v>43525</v>
      </c>
      <c r="J191" s="91">
        <v>20000000</v>
      </c>
      <c r="K191" s="92">
        <v>7.7499999999999999E-2</v>
      </c>
      <c r="L191" s="63">
        <v>7.4999999999999997E-2</v>
      </c>
      <c r="M191" s="93">
        <v>0.9</v>
      </c>
      <c r="N191" s="94">
        <v>9</v>
      </c>
      <c r="O191" s="94"/>
      <c r="P191" s="93">
        <v>12</v>
      </c>
      <c r="Q191" s="95">
        <f>J191*K191*M191*N191/P191</f>
        <v>1046250</v>
      </c>
      <c r="R191" s="94">
        <f t="shared" si="93"/>
        <v>12133121.317966379</v>
      </c>
      <c r="S191" s="95">
        <f>R191*K191*M191*N191/P191</f>
        <v>634713.90894611622</v>
      </c>
      <c r="T191" s="95">
        <f t="shared" si="94"/>
        <v>411536.09105388378</v>
      </c>
      <c r="U191" s="96">
        <v>0.606656065898319</v>
      </c>
      <c r="V191" s="94"/>
      <c r="W191" s="97"/>
      <c r="X191" s="95">
        <f t="shared" si="91"/>
        <v>12133121.317966379</v>
      </c>
      <c r="Y191" s="95">
        <f t="shared" si="91"/>
        <v>634713.90894611622</v>
      </c>
      <c r="Z191" s="98">
        <f t="shared" si="92"/>
        <v>12133121.317966379</v>
      </c>
      <c r="AA191" s="98">
        <f t="shared" si="92"/>
        <v>634713.90894611622</v>
      </c>
      <c r="AB191" s="98">
        <f>1586231.25-AB192</f>
        <v>634713.91</v>
      </c>
      <c r="AC191" s="98"/>
      <c r="AD191" s="98">
        <f t="shared" si="101"/>
        <v>-1.0538838105276227E-3</v>
      </c>
      <c r="AE191" s="100">
        <v>9522.9654243513942</v>
      </c>
      <c r="AF191" s="100">
        <f>AD191/K191/M191/9*P191</f>
        <v>-2.0145927082965309E-2</v>
      </c>
      <c r="AG191" s="100"/>
      <c r="AH191" s="101"/>
      <c r="AI191" s="101"/>
      <c r="AJ191" s="101"/>
      <c r="AK191" s="101"/>
      <c r="AL191" s="101"/>
      <c r="AM191" s="104">
        <f t="shared" si="89"/>
        <v>-1.0538838105276227E-3</v>
      </c>
      <c r="AN191" s="104"/>
      <c r="AO191" s="104"/>
      <c r="AP191" s="104"/>
      <c r="AQ191" s="104">
        <f t="shared" si="88"/>
        <v>-1.0538838105276227E-3</v>
      </c>
      <c r="AR191" s="104"/>
      <c r="AS191" s="104">
        <f t="shared" si="77"/>
        <v>-1.0538838105276227E-3</v>
      </c>
      <c r="AT191" s="104">
        <f t="shared" si="78"/>
        <v>0</v>
      </c>
      <c r="AU191" s="105">
        <f>AD191/K191/M191/8*P191</f>
        <v>-2.2664167968335973E-2</v>
      </c>
      <c r="AV191" s="106"/>
      <c r="AW191" s="106"/>
      <c r="AX191" s="107"/>
      <c r="AY191" s="107"/>
      <c r="AZ191" s="107"/>
      <c r="BA191" s="107"/>
      <c r="BB191" s="108">
        <f t="shared" si="90"/>
        <v>-2.2664167968335973E-2</v>
      </c>
      <c r="BC191" s="108">
        <f>AM191/K191/M191/7*P191</f>
        <v>-2.5901906249526825E-2</v>
      </c>
      <c r="BD191" s="109"/>
      <c r="BE191" s="109"/>
      <c r="BF191" s="109"/>
      <c r="BG191" s="110">
        <f>AQ191/K191/M191/6*P191</f>
        <v>-3.0218890624447964E-2</v>
      </c>
      <c r="BH191" s="110"/>
      <c r="BI191" s="110">
        <f t="shared" si="79"/>
        <v>-1.0538838105276227E-3</v>
      </c>
      <c r="BJ191" s="123">
        <f t="shared" si="80"/>
        <v>-4.6839280467894345E-2</v>
      </c>
      <c r="BK191" s="116"/>
      <c r="BL191" s="79"/>
      <c r="BM191" s="111"/>
    </row>
    <row r="192" spans="1:66" s="112" customFormat="1" ht="25.5">
      <c r="A192" s="84">
        <f t="shared" si="87"/>
        <v>146</v>
      </c>
      <c r="B192" s="85" t="s">
        <v>326</v>
      </c>
      <c r="C192" s="86" t="s">
        <v>327</v>
      </c>
      <c r="D192" s="85" t="s">
        <v>64</v>
      </c>
      <c r="E192" s="87" t="s">
        <v>98</v>
      </c>
      <c r="F192" s="89"/>
      <c r="G192" s="89"/>
      <c r="H192" s="90">
        <v>43525</v>
      </c>
      <c r="I192" s="90">
        <v>43525</v>
      </c>
      <c r="J192" s="91">
        <v>30000000</v>
      </c>
      <c r="K192" s="92">
        <v>7.7499999999999999E-2</v>
      </c>
      <c r="L192" s="63">
        <v>7.4999999999999997E-2</v>
      </c>
      <c r="M192" s="93">
        <v>0.9</v>
      </c>
      <c r="N192" s="94">
        <v>9</v>
      </c>
      <c r="O192" s="94"/>
      <c r="P192" s="93">
        <v>12</v>
      </c>
      <c r="Q192" s="95">
        <f>J192*K192*M192*N192/P192</f>
        <v>1569375</v>
      </c>
      <c r="R192" s="94">
        <f t="shared" si="93"/>
        <v>18199681.976949569</v>
      </c>
      <c r="S192" s="95">
        <f>R192*K192*M192*N192/P192</f>
        <v>952070.86341917433</v>
      </c>
      <c r="T192" s="95">
        <f t="shared" si="94"/>
        <v>617304.13658082567</v>
      </c>
      <c r="U192" s="96">
        <v>0.606656065898319</v>
      </c>
      <c r="V192" s="94"/>
      <c r="W192" s="97"/>
      <c r="X192" s="95">
        <f t="shared" si="91"/>
        <v>18199681.976949569</v>
      </c>
      <c r="Y192" s="95">
        <f t="shared" si="91"/>
        <v>952070.86341917433</v>
      </c>
      <c r="Z192" s="98">
        <f t="shared" si="92"/>
        <v>18199681.976949569</v>
      </c>
      <c r="AA192" s="98">
        <f t="shared" si="92"/>
        <v>952070.86341917433</v>
      </c>
      <c r="AB192" s="98">
        <v>951517.34</v>
      </c>
      <c r="AC192" s="98"/>
      <c r="AD192" s="98">
        <f t="shared" si="101"/>
        <v>553.5234191743657</v>
      </c>
      <c r="AE192" s="100">
        <v>0</v>
      </c>
      <c r="AF192" s="100">
        <f>AD192/K192/M192/9*P192</f>
        <v>10581.092839653345</v>
      </c>
      <c r="AG192" s="100"/>
      <c r="AH192" s="101"/>
      <c r="AI192" s="101"/>
      <c r="AJ192" s="101"/>
      <c r="AK192" s="101"/>
      <c r="AL192" s="101"/>
      <c r="AM192" s="104">
        <f t="shared" si="89"/>
        <v>553.5234191743657</v>
      </c>
      <c r="AN192" s="104"/>
      <c r="AO192" s="104"/>
      <c r="AP192" s="104"/>
      <c r="AQ192" s="104">
        <f t="shared" si="88"/>
        <v>553.5234191743657</v>
      </c>
      <c r="AR192" s="104"/>
      <c r="AS192" s="104">
        <f t="shared" si="77"/>
        <v>553.5234191743657</v>
      </c>
      <c r="AT192" s="104">
        <f t="shared" si="78"/>
        <v>0</v>
      </c>
      <c r="AU192" s="181">
        <f>AD192/K192/M192/8*P192</f>
        <v>11903.729444610015</v>
      </c>
      <c r="AV192" s="106"/>
      <c r="AW192" s="106"/>
      <c r="AX192" s="107"/>
      <c r="AY192" s="107"/>
      <c r="AZ192" s="107"/>
      <c r="BA192" s="107"/>
      <c r="BB192" s="108">
        <f t="shared" si="90"/>
        <v>11903.729444610015</v>
      </c>
      <c r="BC192" s="108">
        <f>AM192/K192/M192/7*P192</f>
        <v>13604.262222411446</v>
      </c>
      <c r="BD192" s="109"/>
      <c r="BE192" s="109"/>
      <c r="BF192" s="109"/>
      <c r="BG192" s="110">
        <f>AQ192/K192/M192/6*P192</f>
        <v>15871.63925948002</v>
      </c>
      <c r="BH192" s="110"/>
      <c r="BI192" s="110">
        <f t="shared" si="79"/>
        <v>553.5234191743657</v>
      </c>
      <c r="BJ192" s="116">
        <f t="shared" si="80"/>
        <v>24601.040852194034</v>
      </c>
      <c r="BK192" s="116"/>
      <c r="BL192" s="79"/>
      <c r="BM192" s="111"/>
    </row>
    <row r="193" spans="1:66" s="170" customFormat="1" ht="38.25" hidden="1">
      <c r="A193" s="150"/>
      <c r="B193" s="151" t="s">
        <v>326</v>
      </c>
      <c r="C193" s="152" t="s">
        <v>327</v>
      </c>
      <c r="D193" s="153" t="s">
        <v>328</v>
      </c>
      <c r="E193" s="127"/>
      <c r="F193" s="153"/>
      <c r="G193" s="153"/>
      <c r="H193" s="155"/>
      <c r="I193" s="155"/>
      <c r="J193" s="156"/>
      <c r="K193" s="157"/>
      <c r="L193" s="63">
        <v>7.4999999999999997E-2</v>
      </c>
      <c r="M193" s="93">
        <v>0.9</v>
      </c>
      <c r="N193" s="94">
        <v>9</v>
      </c>
      <c r="O193" s="94">
        <v>4</v>
      </c>
      <c r="P193" s="93">
        <v>12</v>
      </c>
      <c r="Q193" s="158"/>
      <c r="R193" s="158"/>
      <c r="S193" s="158"/>
      <c r="T193" s="158"/>
      <c r="U193" s="159"/>
      <c r="V193" s="158"/>
      <c r="W193" s="160"/>
      <c r="X193" s="95"/>
      <c r="Y193" s="95"/>
      <c r="Z193" s="98"/>
      <c r="AA193" s="98"/>
      <c r="AB193" s="98"/>
      <c r="AC193" s="98"/>
      <c r="AD193" s="98"/>
      <c r="AE193" s="100"/>
      <c r="AF193" s="100"/>
      <c r="AG193" s="100"/>
      <c r="AH193" s="101"/>
      <c r="AI193" s="101"/>
      <c r="AJ193" s="101"/>
      <c r="AK193" s="101"/>
      <c r="AL193" s="101"/>
      <c r="AM193" s="104"/>
      <c r="AN193" s="104"/>
      <c r="AO193" s="104"/>
      <c r="AP193" s="104"/>
      <c r="AQ193" s="104"/>
      <c r="AR193" s="104"/>
      <c r="AS193" s="104">
        <f t="shared" si="77"/>
        <v>0</v>
      </c>
      <c r="AT193" s="104">
        <f t="shared" si="78"/>
        <v>0</v>
      </c>
      <c r="AU193" s="181"/>
      <c r="AV193" s="106"/>
      <c r="AW193" s="106"/>
      <c r="AX193" s="107"/>
      <c r="AY193" s="107"/>
      <c r="AZ193" s="107"/>
      <c r="BA193" s="107"/>
      <c r="BB193" s="108"/>
      <c r="BC193" s="108"/>
      <c r="BD193" s="109"/>
      <c r="BE193" s="109"/>
      <c r="BF193" s="109"/>
      <c r="BG193" s="110"/>
      <c r="BH193" s="110"/>
      <c r="BI193" s="110">
        <f t="shared" si="79"/>
        <v>0</v>
      </c>
      <c r="BJ193" s="116">
        <f t="shared" si="80"/>
        <v>0</v>
      </c>
      <c r="BK193" s="116"/>
      <c r="BL193" s="169">
        <v>15000000</v>
      </c>
      <c r="BM193" s="186" t="s">
        <v>282</v>
      </c>
      <c r="BN193" s="83" t="s">
        <v>329</v>
      </c>
    </row>
    <row r="194" spans="1:66" s="170" customFormat="1" ht="25.5" hidden="1">
      <c r="A194" s="150"/>
      <c r="B194" s="151" t="s">
        <v>326</v>
      </c>
      <c r="C194" s="152" t="s">
        <v>327</v>
      </c>
      <c r="D194" s="153"/>
      <c r="E194" s="127"/>
      <c r="F194" s="153"/>
      <c r="G194" s="153"/>
      <c r="H194" s="155"/>
      <c r="I194" s="155"/>
      <c r="J194" s="156"/>
      <c r="K194" s="157"/>
      <c r="L194" s="63">
        <v>7.4999999999999997E-2</v>
      </c>
      <c r="M194" s="93">
        <v>0.9</v>
      </c>
      <c r="N194" s="94">
        <v>9</v>
      </c>
      <c r="O194" s="94">
        <v>4</v>
      </c>
      <c r="P194" s="93">
        <v>12</v>
      </c>
      <c r="Q194" s="158"/>
      <c r="R194" s="158"/>
      <c r="S194" s="158"/>
      <c r="T194" s="158"/>
      <c r="U194" s="159"/>
      <c r="V194" s="158"/>
      <c r="W194" s="160"/>
      <c r="X194" s="95"/>
      <c r="Y194" s="95"/>
      <c r="Z194" s="98"/>
      <c r="AA194" s="98"/>
      <c r="AB194" s="98"/>
      <c r="AC194" s="98"/>
      <c r="AD194" s="98"/>
      <c r="AE194" s="100"/>
      <c r="AF194" s="100"/>
      <c r="AG194" s="100"/>
      <c r="AH194" s="101"/>
      <c r="AI194" s="101"/>
      <c r="AJ194" s="101"/>
      <c r="AK194" s="101"/>
      <c r="AL194" s="101"/>
      <c r="AM194" s="104"/>
      <c r="AN194" s="104"/>
      <c r="AO194" s="104"/>
      <c r="AP194" s="104"/>
      <c r="AQ194" s="104"/>
      <c r="AR194" s="104"/>
      <c r="AS194" s="104">
        <f t="shared" si="77"/>
        <v>0</v>
      </c>
      <c r="AT194" s="104">
        <f t="shared" si="78"/>
        <v>0</v>
      </c>
      <c r="AU194" s="181"/>
      <c r="AV194" s="106"/>
      <c r="AW194" s="106"/>
      <c r="AX194" s="107"/>
      <c r="AY194" s="107"/>
      <c r="AZ194" s="107"/>
      <c r="BA194" s="107"/>
      <c r="BB194" s="108"/>
      <c r="BC194" s="108"/>
      <c r="BD194" s="109"/>
      <c r="BE194" s="109"/>
      <c r="BF194" s="109"/>
      <c r="BG194" s="110"/>
      <c r="BH194" s="110"/>
      <c r="BI194" s="110">
        <f t="shared" si="79"/>
        <v>0</v>
      </c>
      <c r="BJ194" s="116">
        <f t="shared" si="80"/>
        <v>0</v>
      </c>
      <c r="BK194" s="116"/>
      <c r="BL194" s="169">
        <v>25000000</v>
      </c>
      <c r="BM194" s="144" t="s">
        <v>99</v>
      </c>
      <c r="BN194" s="310" t="s">
        <v>64</v>
      </c>
    </row>
    <row r="195" spans="1:66" s="112" customFormat="1" ht="25.5">
      <c r="A195" s="84">
        <f>A192+1</f>
        <v>147</v>
      </c>
      <c r="B195" s="85" t="s">
        <v>330</v>
      </c>
      <c r="C195" s="86" t="s">
        <v>331</v>
      </c>
      <c r="D195" s="85" t="s">
        <v>64</v>
      </c>
      <c r="E195" s="87" t="s">
        <v>98</v>
      </c>
      <c r="F195" s="89"/>
      <c r="G195" s="89"/>
      <c r="H195" s="90">
        <v>43525</v>
      </c>
      <c r="I195" s="90">
        <v>43525</v>
      </c>
      <c r="J195" s="91">
        <v>12000000</v>
      </c>
      <c r="K195" s="92">
        <v>7.7499999999999999E-2</v>
      </c>
      <c r="L195" s="63">
        <v>7.4999999999999997E-2</v>
      </c>
      <c r="M195" s="93">
        <v>0.9</v>
      </c>
      <c r="N195" s="94">
        <v>9</v>
      </c>
      <c r="O195" s="94"/>
      <c r="P195" s="93">
        <v>12</v>
      </c>
      <c r="Q195" s="95">
        <f>J195*K195*M195*N195/P195</f>
        <v>627750</v>
      </c>
      <c r="R195" s="94">
        <f t="shared" si="93"/>
        <v>7279872.7907798281</v>
      </c>
      <c r="S195" s="95">
        <f>R195*K195*M195*N195/P195</f>
        <v>380828.34536766977</v>
      </c>
      <c r="T195" s="95">
        <f t="shared" si="94"/>
        <v>246921.65463233023</v>
      </c>
      <c r="U195" s="96">
        <v>0.606656065898319</v>
      </c>
      <c r="V195" s="94"/>
      <c r="W195" s="97"/>
      <c r="X195" s="95">
        <f t="shared" si="91"/>
        <v>7279872.7907798281</v>
      </c>
      <c r="Y195" s="95">
        <f t="shared" si="91"/>
        <v>380828.34536766977</v>
      </c>
      <c r="Z195" s="98">
        <f t="shared" si="92"/>
        <v>7279872.7907798281</v>
      </c>
      <c r="AA195" s="98">
        <f t="shared" si="92"/>
        <v>380828.34536766977</v>
      </c>
      <c r="AB195" s="98"/>
      <c r="AC195" s="98">
        <f>901664.06-AC196</f>
        <v>380828.35000000003</v>
      </c>
      <c r="AD195" s="98">
        <f t="shared" si="101"/>
        <v>-4.6323302667587996E-3</v>
      </c>
      <c r="AE195" s="100">
        <v>-3620286.2207453903</v>
      </c>
      <c r="AF195" s="100">
        <f>AD195/K195/M195/9*P195</f>
        <v>-8.8551116210443009E-2</v>
      </c>
      <c r="AG195" s="100"/>
      <c r="AH195" s="101"/>
      <c r="AI195" s="101"/>
      <c r="AJ195" s="101"/>
      <c r="AK195" s="101"/>
      <c r="AL195" s="101"/>
      <c r="AM195" s="104">
        <f t="shared" si="89"/>
        <v>-4.6323302667587996E-3</v>
      </c>
      <c r="AN195" s="104"/>
      <c r="AO195" s="104"/>
      <c r="AP195" s="104"/>
      <c r="AQ195" s="104">
        <f t="shared" si="88"/>
        <v>-4.6323302667587996E-3</v>
      </c>
      <c r="AR195" s="104"/>
      <c r="AS195" s="104">
        <f t="shared" si="77"/>
        <v>-4.6323302667587996E-3</v>
      </c>
      <c r="AT195" s="104">
        <f t="shared" si="78"/>
        <v>0</v>
      </c>
      <c r="AU195" s="105">
        <f>AD195/K195/M195/8*P195</f>
        <v>-9.9620005736748368E-2</v>
      </c>
      <c r="AV195" s="106"/>
      <c r="AW195" s="106"/>
      <c r="AX195" s="107"/>
      <c r="AY195" s="107"/>
      <c r="AZ195" s="107"/>
      <c r="BA195" s="107"/>
      <c r="BB195" s="108">
        <f t="shared" si="90"/>
        <v>-9.9620005736748368E-2</v>
      </c>
      <c r="BC195" s="108">
        <f>AM195/K195/M195/7*P195</f>
        <v>-0.11385143512771242</v>
      </c>
      <c r="BD195" s="109"/>
      <c r="BE195" s="109"/>
      <c r="BF195" s="109"/>
      <c r="BG195" s="110">
        <f>AQ195/K195/M195/6*P195</f>
        <v>-0.1328266743156645</v>
      </c>
      <c r="BH195" s="110"/>
      <c r="BI195" s="110">
        <f t="shared" si="79"/>
        <v>-4.6323302667587996E-3</v>
      </c>
      <c r="BJ195" s="116">
        <f t="shared" si="80"/>
        <v>-0.20588134518927997</v>
      </c>
      <c r="BK195" s="116"/>
      <c r="BL195" s="79"/>
      <c r="BM195" s="111"/>
    </row>
    <row r="196" spans="1:66">
      <c r="A196" s="236">
        <f t="shared" si="87"/>
        <v>148</v>
      </c>
      <c r="B196" s="237" t="s">
        <v>330</v>
      </c>
      <c r="C196" s="253" t="s">
        <v>331</v>
      </c>
      <c r="D196" s="117" t="s">
        <v>332</v>
      </c>
      <c r="E196" s="237" t="s">
        <v>98</v>
      </c>
      <c r="F196" s="237"/>
      <c r="G196" s="237"/>
      <c r="H196" s="238">
        <v>43525</v>
      </c>
      <c r="I196" s="238" t="s">
        <v>117</v>
      </c>
      <c r="J196" s="239">
        <v>18000000</v>
      </c>
      <c r="K196" s="240">
        <v>7.7499999999999999E-2</v>
      </c>
      <c r="L196" s="63">
        <v>7.4999999999999997E-2</v>
      </c>
      <c r="M196" s="241">
        <v>0.9</v>
      </c>
      <c r="N196" s="242">
        <v>9</v>
      </c>
      <c r="O196" s="242">
        <v>4</v>
      </c>
      <c r="P196" s="241">
        <v>12</v>
      </c>
      <c r="Q196" s="242">
        <f>J196*K196*M196*N196/P196</f>
        <v>941625</v>
      </c>
      <c r="R196" s="242">
        <f t="shared" si="93"/>
        <v>10919809.186169742</v>
      </c>
      <c r="S196" s="242">
        <f>R196*K196*M196*N196/P196</f>
        <v>571242.51805150451</v>
      </c>
      <c r="T196" s="242">
        <f t="shared" si="94"/>
        <v>370382.48194849549</v>
      </c>
      <c r="U196" s="243">
        <v>0.606656065898319</v>
      </c>
      <c r="V196" s="242"/>
      <c r="W196" s="241"/>
      <c r="X196" s="242">
        <f t="shared" si="91"/>
        <v>10919809.186169742</v>
      </c>
      <c r="Y196" s="242">
        <f t="shared" si="91"/>
        <v>571242.51805150451</v>
      </c>
      <c r="Z196" s="244">
        <f t="shared" si="92"/>
        <v>10919809.186169742</v>
      </c>
      <c r="AA196" s="244">
        <f t="shared" si="92"/>
        <v>571242.51805150451</v>
      </c>
      <c r="AB196" s="244"/>
      <c r="AC196" s="244">
        <v>520835.71</v>
      </c>
      <c r="AD196" s="328">
        <f t="shared" si="101"/>
        <v>50406.808051504486</v>
      </c>
      <c r="AE196" s="246">
        <v>0</v>
      </c>
      <c r="AF196" s="246">
        <f>AD196/K196/M196/9*P196</f>
        <v>963571.00217929739</v>
      </c>
      <c r="AG196" s="246"/>
      <c r="AH196" s="247"/>
      <c r="AI196" s="247"/>
      <c r="AJ196" s="70"/>
      <c r="AK196" s="70"/>
      <c r="AL196" s="71"/>
      <c r="AM196" s="69">
        <f t="shared" si="89"/>
        <v>50406.808051504486</v>
      </c>
      <c r="AN196" s="69"/>
      <c r="AO196" s="69"/>
      <c r="AP196" s="69"/>
      <c r="AQ196" s="69">
        <f t="shared" si="88"/>
        <v>50406.808051504486</v>
      </c>
      <c r="AR196" s="269">
        <v>30487.5</v>
      </c>
      <c r="AS196" s="69">
        <f t="shared" si="77"/>
        <v>19919.308051504486</v>
      </c>
      <c r="AT196" s="69">
        <f t="shared" si="78"/>
        <v>19919.30805</v>
      </c>
      <c r="AU196" s="248">
        <f>AD196/K196/M196/8*P196</f>
        <v>1084017.3774517095</v>
      </c>
      <c r="AV196" s="248"/>
      <c r="AW196" s="248"/>
      <c r="AX196" s="249"/>
      <c r="AY196" s="74"/>
      <c r="AZ196" s="74"/>
      <c r="BA196" s="75"/>
      <c r="BB196" s="76">
        <f t="shared" si="90"/>
        <v>1084017.3774517095</v>
      </c>
      <c r="BC196" s="76">
        <f>AM196/K196/M196/7*P196</f>
        <v>1238877.0028019538</v>
      </c>
      <c r="BD196" s="251"/>
      <c r="BE196" s="251"/>
      <c r="BF196" s="251"/>
      <c r="BG196" s="78">
        <f>AQ196/K196/M196/6*P196</f>
        <v>1445356.503268946</v>
      </c>
      <c r="BH196" s="78">
        <v>1084000</v>
      </c>
      <c r="BI196" s="78">
        <f t="shared" si="79"/>
        <v>1.5044861356727779E-6</v>
      </c>
      <c r="BJ196" s="79">
        <f t="shared" si="80"/>
        <v>885302.58006686601</v>
      </c>
      <c r="BK196" s="79">
        <v>885302.58</v>
      </c>
      <c r="BL196" s="79">
        <v>25000000</v>
      </c>
      <c r="BM196" s="144" t="s">
        <v>99</v>
      </c>
      <c r="BN196" s="310" t="s">
        <v>64</v>
      </c>
    </row>
    <row r="197" spans="1:66" hidden="1">
      <c r="A197" s="236"/>
      <c r="B197" s="141" t="s">
        <v>330</v>
      </c>
      <c r="C197" s="406" t="s">
        <v>331</v>
      </c>
      <c r="D197" s="117"/>
      <c r="E197" s="237"/>
      <c r="F197" s="237"/>
      <c r="G197" s="237"/>
      <c r="H197" s="238"/>
      <c r="I197" s="238"/>
      <c r="J197" s="239"/>
      <c r="K197" s="240"/>
      <c r="L197" s="63"/>
      <c r="M197" s="241"/>
      <c r="N197" s="242"/>
      <c r="O197" s="242"/>
      <c r="P197" s="241"/>
      <c r="Q197" s="242"/>
      <c r="R197" s="242"/>
      <c r="S197" s="242"/>
      <c r="T197" s="242"/>
      <c r="U197" s="243"/>
      <c r="V197" s="242"/>
      <c r="W197" s="241"/>
      <c r="X197" s="242"/>
      <c r="Y197" s="242"/>
      <c r="Z197" s="244"/>
      <c r="AA197" s="244"/>
      <c r="AB197" s="244"/>
      <c r="AC197" s="244"/>
      <c r="AD197" s="328"/>
      <c r="AE197" s="246"/>
      <c r="AF197" s="246"/>
      <c r="AG197" s="246"/>
      <c r="AH197" s="247"/>
      <c r="AI197" s="247"/>
      <c r="AJ197" s="70"/>
      <c r="AK197" s="70"/>
      <c r="AL197" s="71"/>
      <c r="AM197" s="69"/>
      <c r="AN197" s="69"/>
      <c r="AO197" s="69"/>
      <c r="AP197" s="69"/>
      <c r="AQ197" s="69"/>
      <c r="AR197" s="269"/>
      <c r="AS197" s="69"/>
      <c r="AT197" s="69"/>
      <c r="AU197" s="248"/>
      <c r="AV197" s="248"/>
      <c r="AW197" s="248"/>
      <c r="AX197" s="249"/>
      <c r="AY197" s="74"/>
      <c r="AZ197" s="74"/>
      <c r="BA197" s="75"/>
      <c r="BB197" s="76"/>
      <c r="BC197" s="76"/>
      <c r="BD197" s="251"/>
      <c r="BE197" s="251"/>
      <c r="BF197" s="251"/>
      <c r="BG197" s="78"/>
      <c r="BH197" s="78"/>
      <c r="BI197" s="78"/>
      <c r="BJ197" s="79"/>
      <c r="BK197" s="79"/>
      <c r="BL197" s="79"/>
      <c r="BM197" s="407" t="s">
        <v>472</v>
      </c>
      <c r="BN197" s="310"/>
    </row>
    <row r="198" spans="1:66" ht="38.25" hidden="1">
      <c r="A198" s="236"/>
      <c r="B198" s="237" t="s">
        <v>330</v>
      </c>
      <c r="C198" s="253" t="s">
        <v>331</v>
      </c>
      <c r="D198" s="117" t="s">
        <v>64</v>
      </c>
      <c r="E198" s="237"/>
      <c r="F198" s="237"/>
      <c r="G198" s="237"/>
      <c r="H198" s="238"/>
      <c r="I198" s="238"/>
      <c r="J198" s="239"/>
      <c r="K198" s="240"/>
      <c r="L198" s="63">
        <v>7.4999999999999997E-2</v>
      </c>
      <c r="M198" s="64">
        <v>0.9</v>
      </c>
      <c r="N198" s="65">
        <v>9</v>
      </c>
      <c r="O198" s="65">
        <v>4</v>
      </c>
      <c r="P198" s="64">
        <v>12</v>
      </c>
      <c r="Q198" s="242"/>
      <c r="R198" s="242"/>
      <c r="S198" s="242"/>
      <c r="T198" s="242"/>
      <c r="U198" s="243"/>
      <c r="V198" s="242"/>
      <c r="W198" s="241"/>
      <c r="X198" s="242"/>
      <c r="Y198" s="242"/>
      <c r="Z198" s="244"/>
      <c r="AA198" s="244"/>
      <c r="AB198" s="244"/>
      <c r="AC198" s="244"/>
      <c r="AD198" s="328"/>
      <c r="AE198" s="246"/>
      <c r="AF198" s="246"/>
      <c r="AG198" s="246"/>
      <c r="AH198" s="247"/>
      <c r="AI198" s="247"/>
      <c r="AJ198" s="70"/>
      <c r="AK198" s="70"/>
      <c r="AL198" s="71"/>
      <c r="AM198" s="69"/>
      <c r="AN198" s="69"/>
      <c r="AO198" s="69"/>
      <c r="AP198" s="69"/>
      <c r="AQ198" s="69"/>
      <c r="AR198" s="269"/>
      <c r="AS198" s="69">
        <f t="shared" si="77"/>
        <v>0</v>
      </c>
      <c r="AT198" s="69">
        <f t="shared" si="78"/>
        <v>0</v>
      </c>
      <c r="AU198" s="248"/>
      <c r="AV198" s="248"/>
      <c r="AW198" s="248"/>
      <c r="AX198" s="249"/>
      <c r="AY198" s="74"/>
      <c r="AZ198" s="74"/>
      <c r="BA198" s="75"/>
      <c r="BB198" s="76"/>
      <c r="BC198" s="76"/>
      <c r="BD198" s="251"/>
      <c r="BE198" s="251"/>
      <c r="BF198" s="251"/>
      <c r="BG198" s="78"/>
      <c r="BH198" s="78"/>
      <c r="BI198" s="78">
        <f t="shared" si="79"/>
        <v>0</v>
      </c>
      <c r="BJ198" s="79">
        <f t="shared" si="80"/>
        <v>0</v>
      </c>
      <c r="BK198" s="79"/>
      <c r="BL198" s="79">
        <v>10000000</v>
      </c>
      <c r="BM198" s="186" t="s">
        <v>282</v>
      </c>
      <c r="BN198" s="83" t="s">
        <v>186</v>
      </c>
    </row>
    <row r="199" spans="1:66" ht="38.25" hidden="1">
      <c r="A199" s="236">
        <f>A196+1</f>
        <v>149</v>
      </c>
      <c r="B199" s="237" t="s">
        <v>333</v>
      </c>
      <c r="C199" s="253" t="s">
        <v>334</v>
      </c>
      <c r="D199" s="117" t="s">
        <v>332</v>
      </c>
      <c r="E199" s="237" t="s">
        <v>98</v>
      </c>
      <c r="F199" s="237"/>
      <c r="G199" s="237"/>
      <c r="H199" s="238">
        <v>43525</v>
      </c>
      <c r="I199" s="61" t="s">
        <v>94</v>
      </c>
      <c r="J199" s="239">
        <v>40000000</v>
      </c>
      <c r="K199" s="240">
        <v>7.7499999999999999E-2</v>
      </c>
      <c r="L199" s="63">
        <v>7.4999999999999997E-2</v>
      </c>
      <c r="M199" s="241">
        <v>0.9</v>
      </c>
      <c r="N199" s="242">
        <v>9</v>
      </c>
      <c r="O199" s="242">
        <v>4</v>
      </c>
      <c r="P199" s="241">
        <v>12</v>
      </c>
      <c r="Q199" s="242">
        <f>J199*K199*M199*N199/P199</f>
        <v>2092500</v>
      </c>
      <c r="R199" s="242">
        <f t="shared" si="93"/>
        <v>24266242.635932758</v>
      </c>
      <c r="S199" s="242">
        <f>R199*K199*M199*N199/P199</f>
        <v>1269427.8178922324</v>
      </c>
      <c r="T199" s="242">
        <f t="shared" si="94"/>
        <v>823072.18210776756</v>
      </c>
      <c r="U199" s="243">
        <v>0.606656065898319</v>
      </c>
      <c r="V199" s="242"/>
      <c r="W199" s="241"/>
      <c r="X199" s="242">
        <f t="shared" si="91"/>
        <v>24266242.635932758</v>
      </c>
      <c r="Y199" s="242">
        <f t="shared" si="91"/>
        <v>1269427.8178922324</v>
      </c>
      <c r="Z199" s="244">
        <f t="shared" si="92"/>
        <v>24266242.635932758</v>
      </c>
      <c r="AA199" s="244">
        <f t="shared" si="92"/>
        <v>1269427.8178922324</v>
      </c>
      <c r="AB199" s="244">
        <f>348749.99+813749.99</f>
        <v>1162499.98</v>
      </c>
      <c r="AC199" s="244"/>
      <c r="AD199" s="244">
        <f t="shared" si="101"/>
        <v>106927.83789223246</v>
      </c>
      <c r="AE199" s="246">
        <v>23679236.744678959</v>
      </c>
      <c r="AF199" s="246">
        <f>AD199/K199/M199/9*P199</f>
        <v>2044020.7960283388</v>
      </c>
      <c r="AG199" s="246"/>
      <c r="AH199" s="247"/>
      <c r="AI199" s="247"/>
      <c r="AJ199" s="70"/>
      <c r="AK199" s="70"/>
      <c r="AL199" s="71"/>
      <c r="AM199" s="69">
        <f t="shared" si="89"/>
        <v>106927.83789223246</v>
      </c>
      <c r="AN199" s="69"/>
      <c r="AO199" s="69"/>
      <c r="AP199" s="69"/>
      <c r="AQ199" s="69">
        <f t="shared" si="88"/>
        <v>106927.83789223246</v>
      </c>
      <c r="AR199" s="69">
        <v>106927.84</v>
      </c>
      <c r="AS199" s="69">
        <f t="shared" si="77"/>
        <v>-2.107767533743754E-3</v>
      </c>
      <c r="AT199" s="69">
        <f t="shared" si="78"/>
        <v>0</v>
      </c>
      <c r="AU199" s="248">
        <f>AD199/K199/M199/8*P199</f>
        <v>2299523.3955318811</v>
      </c>
      <c r="AV199" s="248"/>
      <c r="AW199" s="248"/>
      <c r="AX199" s="249"/>
      <c r="AY199" s="74"/>
      <c r="AZ199" s="74"/>
      <c r="BA199" s="75"/>
      <c r="BB199" s="76">
        <f t="shared" si="90"/>
        <v>2299523.3955318811</v>
      </c>
      <c r="BC199" s="76">
        <f>AM199/K199/M199/7*P199</f>
        <v>2628026.7377507212</v>
      </c>
      <c r="BD199" s="251"/>
      <c r="BE199" s="251"/>
      <c r="BF199" s="251"/>
      <c r="BG199" s="78">
        <f>AQ199/K199/M199/6*P199</f>
        <v>3066031.194042508</v>
      </c>
      <c r="BH199" s="78">
        <v>29000000</v>
      </c>
      <c r="BI199" s="78">
        <f t="shared" si="79"/>
        <v>-2.107767533743754E-3</v>
      </c>
      <c r="BJ199" s="191">
        <f t="shared" si="80"/>
        <v>-9.3678557055277958E-2</v>
      </c>
      <c r="BK199" s="79"/>
      <c r="BL199" s="143">
        <v>72000000</v>
      </c>
      <c r="BM199" s="144" t="s">
        <v>335</v>
      </c>
      <c r="BN199" s="302" t="s">
        <v>336</v>
      </c>
    </row>
    <row r="200" spans="1:66" ht="25.5">
      <c r="A200" s="236">
        <f t="shared" si="87"/>
        <v>150</v>
      </c>
      <c r="B200" s="237" t="s">
        <v>333</v>
      </c>
      <c r="C200" s="253" t="s">
        <v>334</v>
      </c>
      <c r="D200" s="237" t="s">
        <v>64</v>
      </c>
      <c r="E200" s="237" t="s">
        <v>98</v>
      </c>
      <c r="F200" s="237"/>
      <c r="G200" s="237"/>
      <c r="H200" s="238">
        <v>43525</v>
      </c>
      <c r="I200" s="61" t="s">
        <v>94</v>
      </c>
      <c r="J200" s="239">
        <v>40000000</v>
      </c>
      <c r="K200" s="240">
        <v>7.7499999999999999E-2</v>
      </c>
      <c r="L200" s="63">
        <v>7.4999999999999997E-2</v>
      </c>
      <c r="M200" s="241">
        <v>0.9</v>
      </c>
      <c r="N200" s="242">
        <v>9</v>
      </c>
      <c r="O200" s="242">
        <v>4</v>
      </c>
      <c r="P200" s="241">
        <v>12</v>
      </c>
      <c r="Q200" s="242">
        <f>J200*K200*M200*N200/P200</f>
        <v>2092500</v>
      </c>
      <c r="R200" s="242">
        <f t="shared" si="93"/>
        <v>24266242.635932758</v>
      </c>
      <c r="S200" s="242">
        <f>R200*K200*M200*N200/P200</f>
        <v>1269427.8178922324</v>
      </c>
      <c r="T200" s="242">
        <f t="shared" si="94"/>
        <v>823072.18210776756</v>
      </c>
      <c r="U200" s="243">
        <v>0.606656065898319</v>
      </c>
      <c r="V200" s="242"/>
      <c r="W200" s="241"/>
      <c r="X200" s="242">
        <f t="shared" si="91"/>
        <v>24266242.635932758</v>
      </c>
      <c r="Y200" s="242">
        <f t="shared" si="91"/>
        <v>1269427.8178922324</v>
      </c>
      <c r="Z200" s="244">
        <f t="shared" si="92"/>
        <v>24266242.635932758</v>
      </c>
      <c r="AA200" s="244">
        <f t="shared" si="92"/>
        <v>1269427.8178922324</v>
      </c>
      <c r="AB200" s="244"/>
      <c r="AC200" s="244"/>
      <c r="AD200" s="244">
        <f t="shared" si="101"/>
        <v>1269427.8178922324</v>
      </c>
      <c r="AE200" s="246">
        <v>0</v>
      </c>
      <c r="AF200" s="246">
        <f>AD200/K200/M200/9*P200</f>
        <v>24266242.635932758</v>
      </c>
      <c r="AG200" s="246"/>
      <c r="AH200" s="247"/>
      <c r="AI200" s="247"/>
      <c r="AJ200" s="70"/>
      <c r="AK200" s="70"/>
      <c r="AL200" s="71"/>
      <c r="AM200" s="69">
        <f t="shared" si="89"/>
        <v>1269427.8178922324</v>
      </c>
      <c r="AN200" s="69"/>
      <c r="AO200" s="69"/>
      <c r="AP200" s="69"/>
      <c r="AQ200" s="69">
        <f t="shared" si="88"/>
        <v>1269427.8178922324</v>
      </c>
      <c r="AR200" s="69">
        <v>1018072.16</v>
      </c>
      <c r="AS200" s="69">
        <f t="shared" si="77"/>
        <v>251355.65789223241</v>
      </c>
      <c r="AT200" s="69">
        <f t="shared" si="78"/>
        <v>251355.657825</v>
      </c>
      <c r="AU200" s="248">
        <f>AD200/K200/M200/8*P200</f>
        <v>27299522.965424351</v>
      </c>
      <c r="AV200" s="248"/>
      <c r="AW200" s="248"/>
      <c r="AX200" s="249"/>
      <c r="AY200" s="74"/>
      <c r="AZ200" s="74"/>
      <c r="BA200" s="75"/>
      <c r="BB200" s="76">
        <f t="shared" si="90"/>
        <v>27299522.965424351</v>
      </c>
      <c r="BC200" s="76">
        <f>AM200/K200/M200/7*P200</f>
        <v>31199454.817627832</v>
      </c>
      <c r="BD200" s="251"/>
      <c r="BE200" s="251"/>
      <c r="BF200" s="251"/>
      <c r="BG200" s="78">
        <f>AQ200/K200/M200/6*P200</f>
        <v>36399363.953899138</v>
      </c>
      <c r="BH200" s="78">
        <v>11000000</v>
      </c>
      <c r="BI200" s="78">
        <f t="shared" si="79"/>
        <v>6.7232409492135048E-5</v>
      </c>
      <c r="BJ200" s="79">
        <f t="shared" si="80"/>
        <v>11171362.572988108</v>
      </c>
      <c r="BK200" s="79">
        <v>11171362.57</v>
      </c>
      <c r="BL200" s="79">
        <v>-900000</v>
      </c>
      <c r="BM200" s="235"/>
      <c r="BN200" s="81" t="s">
        <v>64</v>
      </c>
    </row>
    <row r="201" spans="1:66" ht="38.25" hidden="1" customHeight="1">
      <c r="A201" s="236"/>
      <c r="B201" s="117" t="s">
        <v>333</v>
      </c>
      <c r="C201" s="118" t="s">
        <v>334</v>
      </c>
      <c r="D201" s="117" t="s">
        <v>120</v>
      </c>
      <c r="E201" s="237"/>
      <c r="F201" s="237"/>
      <c r="G201" s="237"/>
      <c r="H201" s="238"/>
      <c r="I201" s="61"/>
      <c r="J201" s="239"/>
      <c r="K201" s="240"/>
      <c r="L201" s="63">
        <v>7.4999999999999997E-2</v>
      </c>
      <c r="M201" s="241">
        <v>0.9</v>
      </c>
      <c r="N201" s="242">
        <v>9</v>
      </c>
      <c r="O201" s="242">
        <v>4</v>
      </c>
      <c r="P201" s="241">
        <v>12</v>
      </c>
      <c r="Q201" s="242"/>
      <c r="R201" s="242">
        <f t="shared" si="93"/>
        <v>0</v>
      </c>
      <c r="S201" s="242"/>
      <c r="T201" s="242"/>
      <c r="U201" s="243"/>
      <c r="V201" s="242"/>
      <c r="W201" s="241"/>
      <c r="X201" s="242">
        <f t="shared" si="91"/>
        <v>0</v>
      </c>
      <c r="Y201" s="242"/>
      <c r="Z201" s="244">
        <f t="shared" si="92"/>
        <v>0</v>
      </c>
      <c r="AA201" s="244"/>
      <c r="AB201" s="244"/>
      <c r="AC201" s="244"/>
      <c r="AD201" s="244"/>
      <c r="AE201" s="246"/>
      <c r="AF201" s="246"/>
      <c r="AG201" s="246"/>
      <c r="AH201" s="247"/>
      <c r="AI201" s="247"/>
      <c r="AJ201" s="70"/>
      <c r="AK201" s="70"/>
      <c r="AL201" s="71"/>
      <c r="AM201" s="69"/>
      <c r="AN201" s="69"/>
      <c r="AO201" s="69"/>
      <c r="AP201" s="69"/>
      <c r="AQ201" s="69"/>
      <c r="AR201" s="69"/>
      <c r="AS201" s="69">
        <f t="shared" si="77"/>
        <v>0</v>
      </c>
      <c r="AT201" s="69">
        <f t="shared" si="78"/>
        <v>0</v>
      </c>
      <c r="AU201" s="248"/>
      <c r="AV201" s="248"/>
      <c r="AW201" s="248"/>
      <c r="AX201" s="249"/>
      <c r="AY201" s="74"/>
      <c r="AZ201" s="74"/>
      <c r="BA201" s="75"/>
      <c r="BB201" s="76"/>
      <c r="BC201" s="76"/>
      <c r="BD201" s="251"/>
      <c r="BE201" s="251"/>
      <c r="BF201" s="251"/>
      <c r="BG201" s="78"/>
      <c r="BH201" s="78"/>
      <c r="BI201" s="78">
        <f t="shared" si="79"/>
        <v>0</v>
      </c>
      <c r="BJ201" s="79">
        <f t="shared" si="80"/>
        <v>0</v>
      </c>
      <c r="BK201" s="79"/>
      <c r="BL201" s="143">
        <v>78000000</v>
      </c>
      <c r="BM201" s="144" t="s">
        <v>337</v>
      </c>
      <c r="BN201" s="310" t="s">
        <v>76</v>
      </c>
    </row>
    <row r="202" spans="1:66" s="185" customFormat="1" ht="25.5">
      <c r="A202" s="171">
        <f>A200+1</f>
        <v>151</v>
      </c>
      <c r="B202" s="87" t="s">
        <v>338</v>
      </c>
      <c r="C202" s="172" t="s">
        <v>339</v>
      </c>
      <c r="D202" s="87" t="s">
        <v>64</v>
      </c>
      <c r="E202" s="87" t="s">
        <v>65</v>
      </c>
      <c r="F202" s="87"/>
      <c r="G202" s="87"/>
      <c r="H202" s="174">
        <v>43525</v>
      </c>
      <c r="I202" s="189" t="s">
        <v>149</v>
      </c>
      <c r="J202" s="175">
        <v>12000000</v>
      </c>
      <c r="K202" s="121">
        <v>7.7499999999999999E-2</v>
      </c>
      <c r="L202" s="121">
        <v>7.4999999999999997E-2</v>
      </c>
      <c r="M202" s="176">
        <v>0.9</v>
      </c>
      <c r="N202" s="177">
        <v>9</v>
      </c>
      <c r="O202" s="177"/>
      <c r="P202" s="176">
        <v>12</v>
      </c>
      <c r="Q202" s="177">
        <f>J202*K202*M202*N202/P202</f>
        <v>627750</v>
      </c>
      <c r="R202" s="177">
        <f t="shared" si="93"/>
        <v>7279872.7907798281</v>
      </c>
      <c r="S202" s="177">
        <f>R202*K202*M202*N202/P202</f>
        <v>380828.34536766977</v>
      </c>
      <c r="T202" s="177">
        <f t="shared" si="94"/>
        <v>246921.65463233023</v>
      </c>
      <c r="U202" s="178">
        <v>0.606656065898319</v>
      </c>
      <c r="V202" s="177"/>
      <c r="W202" s="176"/>
      <c r="X202" s="177">
        <f t="shared" si="91"/>
        <v>7279872.7907798281</v>
      </c>
      <c r="Y202" s="177">
        <f t="shared" si="91"/>
        <v>380828.34536766977</v>
      </c>
      <c r="Z202" s="179">
        <f t="shared" si="92"/>
        <v>7279872.7907798281</v>
      </c>
      <c r="AA202" s="179">
        <f t="shared" si="92"/>
        <v>380828.34536766977</v>
      </c>
      <c r="AB202" s="179">
        <v>380718.75</v>
      </c>
      <c r="AC202" s="179"/>
      <c r="AD202" s="179">
        <f t="shared" si="101"/>
        <v>109.59536766976817</v>
      </c>
      <c r="AE202" s="180">
        <v>1885.5117018455639</v>
      </c>
      <c r="AF202" s="180">
        <f>AD202/K202/M202/9*P202</f>
        <v>2095.0130020505267</v>
      </c>
      <c r="AG202" s="180"/>
      <c r="AH202" s="104"/>
      <c r="AI202" s="104"/>
      <c r="AJ202" s="104"/>
      <c r="AK202" s="104"/>
      <c r="AL202" s="104"/>
      <c r="AM202" s="104">
        <f t="shared" si="89"/>
        <v>109.59536766976817</v>
      </c>
      <c r="AN202" s="104"/>
      <c r="AO202" s="104"/>
      <c r="AP202" s="104"/>
      <c r="AQ202" s="104">
        <f t="shared" si="88"/>
        <v>109.59536766976817</v>
      </c>
      <c r="AR202" s="104"/>
      <c r="AS202" s="69">
        <f t="shared" ref="AS202:AS265" si="102">AQ202-AR202</f>
        <v>109.59536766976817</v>
      </c>
      <c r="AT202" s="104">
        <f t="shared" ref="AT202:AT265" si="103">BK202*L202*M202*4/P202</f>
        <v>0</v>
      </c>
      <c r="AU202" s="181">
        <f>AD202/K202/M202/8*P202</f>
        <v>2356.8896273068422</v>
      </c>
      <c r="AV202" s="181"/>
      <c r="AW202" s="181"/>
      <c r="AX202" s="182"/>
      <c r="AY202" s="182"/>
      <c r="AZ202" s="182"/>
      <c r="BA202" s="182"/>
      <c r="BB202" s="108">
        <f t="shared" si="90"/>
        <v>2356.8896273068422</v>
      </c>
      <c r="BC202" s="108">
        <f>AM202/K202/M202/7*P202</f>
        <v>2693.5881454935338</v>
      </c>
      <c r="BD202" s="183"/>
      <c r="BE202" s="183"/>
      <c r="BF202" s="183"/>
      <c r="BG202" s="110">
        <f>AQ202/K202/M202/6*P202</f>
        <v>3142.5195030757895</v>
      </c>
      <c r="BH202" s="110"/>
      <c r="BI202" s="110">
        <f t="shared" ref="BI202:BI265" si="104">AS202-AT202</f>
        <v>109.59536766976817</v>
      </c>
      <c r="BJ202" s="116">
        <f t="shared" ref="BJ202:BJ265" si="105">AS202/L202/M202/4*P202</f>
        <v>4870.9052297674734</v>
      </c>
      <c r="BK202" s="116"/>
      <c r="BL202" s="79"/>
      <c r="BM202" s="184"/>
    </row>
    <row r="203" spans="1:66" s="5" customFormat="1" hidden="1">
      <c r="A203" s="126"/>
      <c r="B203" s="117" t="s">
        <v>338</v>
      </c>
      <c r="C203" s="118" t="s">
        <v>339</v>
      </c>
      <c r="D203" s="81" t="s">
        <v>64</v>
      </c>
      <c r="E203" s="127"/>
      <c r="F203" s="127"/>
      <c r="G203" s="127"/>
      <c r="H203" s="129"/>
      <c r="I203" s="329"/>
      <c r="J203" s="130"/>
      <c r="K203" s="142"/>
      <c r="L203" s="63">
        <v>7.4999999999999997E-2</v>
      </c>
      <c r="M203" s="241">
        <v>0.9</v>
      </c>
      <c r="N203" s="242">
        <v>9</v>
      </c>
      <c r="O203" s="242">
        <v>4</v>
      </c>
      <c r="P203" s="241">
        <v>12</v>
      </c>
      <c r="Q203" s="131"/>
      <c r="R203" s="131"/>
      <c r="S203" s="131"/>
      <c r="T203" s="131"/>
      <c r="U203" s="132"/>
      <c r="V203" s="131"/>
      <c r="W203" s="133"/>
      <c r="X203" s="131"/>
      <c r="Y203" s="131"/>
      <c r="Z203" s="134"/>
      <c r="AA203" s="134"/>
      <c r="AB203" s="134"/>
      <c r="AC203" s="134"/>
      <c r="AD203" s="134"/>
      <c r="AE203" s="135"/>
      <c r="AF203" s="135"/>
      <c r="AG203" s="135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69">
        <f t="shared" si="102"/>
        <v>0</v>
      </c>
      <c r="AT203" s="69">
        <f t="shared" si="103"/>
        <v>0</v>
      </c>
      <c r="AU203" s="136"/>
      <c r="AV203" s="136"/>
      <c r="AW203" s="136"/>
      <c r="AX203" s="74"/>
      <c r="AY203" s="74"/>
      <c r="AZ203" s="74"/>
      <c r="BA203" s="74"/>
      <c r="BB203" s="137"/>
      <c r="BC203" s="137"/>
      <c r="BD203" s="138"/>
      <c r="BE203" s="138"/>
      <c r="BF203" s="138"/>
      <c r="BG203" s="168"/>
      <c r="BH203" s="168"/>
      <c r="BI203" s="78">
        <f t="shared" si="104"/>
        <v>0</v>
      </c>
      <c r="BJ203" s="79">
        <f t="shared" si="105"/>
        <v>0</v>
      </c>
      <c r="BK203" s="79"/>
      <c r="BL203" s="169">
        <v>30000000</v>
      </c>
      <c r="BM203" s="144" t="s">
        <v>99</v>
      </c>
      <c r="BN203" s="145" t="s">
        <v>64</v>
      </c>
    </row>
    <row r="204" spans="1:66" s="81" customFormat="1" ht="25.5">
      <c r="A204" s="56">
        <f>A202+1</f>
        <v>152</v>
      </c>
      <c r="B204" s="57" t="s">
        <v>340</v>
      </c>
      <c r="C204" s="58" t="s">
        <v>341</v>
      </c>
      <c r="D204" s="57" t="s">
        <v>64</v>
      </c>
      <c r="E204" s="57" t="s">
        <v>65</v>
      </c>
      <c r="F204" s="57"/>
      <c r="G204" s="57"/>
      <c r="H204" s="60">
        <v>43525</v>
      </c>
      <c r="I204" s="60" t="s">
        <v>342</v>
      </c>
      <c r="J204" s="62">
        <v>100000000</v>
      </c>
      <c r="K204" s="63">
        <v>7.7499999999999999E-2</v>
      </c>
      <c r="L204" s="63">
        <v>7.4999999999999997E-2</v>
      </c>
      <c r="M204" s="64">
        <v>0.9</v>
      </c>
      <c r="N204" s="65">
        <v>9</v>
      </c>
      <c r="O204" s="65">
        <v>4</v>
      </c>
      <c r="P204" s="64">
        <v>12</v>
      </c>
      <c r="Q204" s="65">
        <f>J204*K204*M204*N204/P204</f>
        <v>5231250</v>
      </c>
      <c r="R204" s="65">
        <f t="shared" si="93"/>
        <v>60665606.589831896</v>
      </c>
      <c r="S204" s="65">
        <f>R204*K204*M204*N204/P204</f>
        <v>3173569.5447305809</v>
      </c>
      <c r="T204" s="65">
        <f t="shared" si="94"/>
        <v>2057680.4552694191</v>
      </c>
      <c r="U204" s="66">
        <v>0.606656065898319</v>
      </c>
      <c r="V204" s="65"/>
      <c r="W204" s="64"/>
      <c r="X204" s="65">
        <f t="shared" si="91"/>
        <v>60665606.589831896</v>
      </c>
      <c r="Y204" s="65">
        <f t="shared" si="91"/>
        <v>3173569.5447305809</v>
      </c>
      <c r="Z204" s="67">
        <f t="shared" si="92"/>
        <v>60665606.589831896</v>
      </c>
      <c r="AA204" s="67">
        <f t="shared" si="92"/>
        <v>3173569.5447305809</v>
      </c>
      <c r="AB204" s="67"/>
      <c r="AC204" s="67"/>
      <c r="AD204" s="67">
        <f t="shared" si="101"/>
        <v>3173569.5447305809</v>
      </c>
      <c r="AE204" s="68">
        <v>54599045.930848703</v>
      </c>
      <c r="AF204" s="68">
        <f>AD204/K204/M204/9*P204</f>
        <v>60665606.589831904</v>
      </c>
      <c r="AG204" s="68"/>
      <c r="AH204" s="69"/>
      <c r="AI204" s="69"/>
      <c r="AJ204" s="70"/>
      <c r="AK204" s="70"/>
      <c r="AL204" s="71"/>
      <c r="AM204" s="69">
        <f t="shared" si="89"/>
        <v>3173569.5447305809</v>
      </c>
      <c r="AN204" s="69"/>
      <c r="AO204" s="69"/>
      <c r="AP204" s="69"/>
      <c r="AQ204" s="69">
        <f t="shared" si="88"/>
        <v>3173569.5447305809</v>
      </c>
      <c r="AR204" s="69"/>
      <c r="AS204" s="69">
        <f t="shared" si="102"/>
        <v>3173569.5447305809</v>
      </c>
      <c r="AT204" s="69">
        <f t="shared" si="103"/>
        <v>2250000</v>
      </c>
      <c r="AU204" s="72">
        <f>AD204/K204/M204/8*P204</f>
        <v>68248807.413560882</v>
      </c>
      <c r="AV204" s="72"/>
      <c r="AW204" s="72"/>
      <c r="AX204" s="73"/>
      <c r="AY204" s="74"/>
      <c r="AZ204" s="74"/>
      <c r="BA204" s="75"/>
      <c r="BB204" s="76">
        <f t="shared" si="90"/>
        <v>68248807.413560882</v>
      </c>
      <c r="BC204" s="76">
        <f>AM204/K204/M204/7*P204</f>
        <v>77998637.044069588</v>
      </c>
      <c r="BD204" s="77"/>
      <c r="BE204" s="77"/>
      <c r="BF204" s="77"/>
      <c r="BG204" s="78">
        <f>AQ204/K204/M204/6*P204</f>
        <v>90998409.884747848</v>
      </c>
      <c r="BH204" s="78"/>
      <c r="BI204" s="78">
        <f t="shared" si="104"/>
        <v>923569.54473058088</v>
      </c>
      <c r="BJ204" s="79">
        <f t="shared" si="105"/>
        <v>141047535.32135916</v>
      </c>
      <c r="BK204" s="79">
        <v>100000000</v>
      </c>
      <c r="BL204" s="79">
        <v>100000000</v>
      </c>
      <c r="BM204" s="190" t="s">
        <v>290</v>
      </c>
      <c r="BN204" s="81" t="s">
        <v>64</v>
      </c>
    </row>
    <row r="205" spans="1:66" s="81" customFormat="1" ht="25.5">
      <c r="A205" s="56">
        <f t="shared" si="87"/>
        <v>153</v>
      </c>
      <c r="B205" s="57" t="s">
        <v>343</v>
      </c>
      <c r="C205" s="58" t="s">
        <v>344</v>
      </c>
      <c r="D205" s="57" t="s">
        <v>64</v>
      </c>
      <c r="E205" s="57" t="s">
        <v>65</v>
      </c>
      <c r="F205" s="57"/>
      <c r="G205" s="57"/>
      <c r="H205" s="60">
        <v>43525</v>
      </c>
      <c r="I205" s="60" t="s">
        <v>117</v>
      </c>
      <c r="J205" s="62">
        <v>8000000</v>
      </c>
      <c r="K205" s="63">
        <v>7.7499999999999999E-2</v>
      </c>
      <c r="L205" s="63">
        <v>7.4999999999999997E-2</v>
      </c>
      <c r="M205" s="64">
        <v>0.9</v>
      </c>
      <c r="N205" s="65">
        <v>9</v>
      </c>
      <c r="O205" s="65">
        <v>4</v>
      </c>
      <c r="P205" s="64">
        <v>12</v>
      </c>
      <c r="Q205" s="65">
        <f>J205*K205*M205*N205/P205</f>
        <v>418500</v>
      </c>
      <c r="R205" s="65">
        <f t="shared" si="93"/>
        <v>4853248.5271865521</v>
      </c>
      <c r="S205" s="65">
        <f>R205*K205*M205*N205/P205</f>
        <v>253885.56357844651</v>
      </c>
      <c r="T205" s="65">
        <f t="shared" si="94"/>
        <v>164614.43642155349</v>
      </c>
      <c r="U205" s="66">
        <v>0.606656065898319</v>
      </c>
      <c r="V205" s="65"/>
      <c r="W205" s="64"/>
      <c r="X205" s="65">
        <f t="shared" si="91"/>
        <v>4853248.5271865521</v>
      </c>
      <c r="Y205" s="65">
        <f t="shared" si="91"/>
        <v>253885.56357844651</v>
      </c>
      <c r="Z205" s="67">
        <f t="shared" si="92"/>
        <v>4853248.5271865521</v>
      </c>
      <c r="AA205" s="67">
        <f t="shared" si="92"/>
        <v>253885.56357844651</v>
      </c>
      <c r="AB205" s="67"/>
      <c r="AC205" s="67"/>
      <c r="AD205" s="67">
        <f t="shared" si="101"/>
        <v>253885.56357844651</v>
      </c>
      <c r="AE205" s="68">
        <v>4367923.674467897</v>
      </c>
      <c r="AF205" s="68">
        <f>AD205/K205/M205/9*P205</f>
        <v>4853248.5271865521</v>
      </c>
      <c r="AG205" s="68"/>
      <c r="AH205" s="69"/>
      <c r="AI205" s="69"/>
      <c r="AJ205" s="70"/>
      <c r="AK205" s="70"/>
      <c r="AL205" s="71"/>
      <c r="AM205" s="69">
        <f t="shared" si="89"/>
        <v>253885.56357844651</v>
      </c>
      <c r="AN205" s="69"/>
      <c r="AO205" s="69"/>
      <c r="AP205" s="69"/>
      <c r="AQ205" s="69">
        <f t="shared" si="88"/>
        <v>253885.56357844651</v>
      </c>
      <c r="AR205" s="69"/>
      <c r="AS205" s="69">
        <f t="shared" si="102"/>
        <v>253885.56357844651</v>
      </c>
      <c r="AT205" s="69">
        <f t="shared" si="103"/>
        <v>180000</v>
      </c>
      <c r="AU205" s="72">
        <f>AD205/K205/M205/8*P205</f>
        <v>5459904.5930848708</v>
      </c>
      <c r="AV205" s="72"/>
      <c r="AW205" s="72"/>
      <c r="AX205" s="73"/>
      <c r="AY205" s="74"/>
      <c r="AZ205" s="74"/>
      <c r="BA205" s="75"/>
      <c r="BB205" s="76">
        <f t="shared" si="90"/>
        <v>5459904.5930848708</v>
      </c>
      <c r="BC205" s="76">
        <f>AM205/K205/M205/7*P205</f>
        <v>6239890.9635255672</v>
      </c>
      <c r="BD205" s="77"/>
      <c r="BE205" s="77"/>
      <c r="BF205" s="77"/>
      <c r="BG205" s="78">
        <f>AQ205/K205/M205/6*P205</f>
        <v>7279872.7907798281</v>
      </c>
      <c r="BH205" s="78"/>
      <c r="BI205" s="78">
        <f t="shared" si="104"/>
        <v>73885.563578446512</v>
      </c>
      <c r="BJ205" s="79">
        <f t="shared" si="105"/>
        <v>11283802.825708734</v>
      </c>
      <c r="BK205" s="79">
        <v>8000000</v>
      </c>
      <c r="BL205" s="79">
        <v>8000000</v>
      </c>
      <c r="BM205" s="190" t="s">
        <v>290</v>
      </c>
      <c r="BN205" s="81" t="s">
        <v>64</v>
      </c>
    </row>
    <row r="206" spans="1:66" s="5" customFormat="1" ht="38.25" hidden="1">
      <c r="A206" s="126"/>
      <c r="B206" s="117" t="s">
        <v>345</v>
      </c>
      <c r="C206" s="118" t="s">
        <v>346</v>
      </c>
      <c r="D206" s="127"/>
      <c r="E206" s="127" t="s">
        <v>65</v>
      </c>
      <c r="F206" s="127"/>
      <c r="G206" s="127"/>
      <c r="H206" s="129"/>
      <c r="I206" s="129"/>
      <c r="J206" s="130"/>
      <c r="K206" s="142"/>
      <c r="L206" s="63">
        <v>7.4999999999999997E-2</v>
      </c>
      <c r="M206" s="64">
        <v>0.9</v>
      </c>
      <c r="N206" s="65">
        <v>9</v>
      </c>
      <c r="O206" s="65">
        <v>4</v>
      </c>
      <c r="P206" s="64">
        <v>12</v>
      </c>
      <c r="Q206" s="131"/>
      <c r="R206" s="131"/>
      <c r="S206" s="131"/>
      <c r="T206" s="131"/>
      <c r="U206" s="132"/>
      <c r="V206" s="131"/>
      <c r="W206" s="133"/>
      <c r="X206" s="131"/>
      <c r="Y206" s="131"/>
      <c r="Z206" s="134"/>
      <c r="AA206" s="134"/>
      <c r="AB206" s="134"/>
      <c r="AC206" s="134"/>
      <c r="AD206" s="134"/>
      <c r="AE206" s="135"/>
      <c r="AF206" s="135"/>
      <c r="AG206" s="135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69">
        <f t="shared" si="102"/>
        <v>0</v>
      </c>
      <c r="AT206" s="69">
        <f t="shared" si="103"/>
        <v>0</v>
      </c>
      <c r="AU206" s="136"/>
      <c r="AV206" s="136"/>
      <c r="AW206" s="136"/>
      <c r="AX206" s="74"/>
      <c r="AY206" s="74"/>
      <c r="AZ206" s="74"/>
      <c r="BA206" s="74"/>
      <c r="BB206" s="137"/>
      <c r="BC206" s="137"/>
      <c r="BD206" s="138"/>
      <c r="BE206" s="138"/>
      <c r="BF206" s="138"/>
      <c r="BG206" s="168"/>
      <c r="BH206" s="168"/>
      <c r="BI206" s="78">
        <f t="shared" si="104"/>
        <v>0</v>
      </c>
      <c r="BJ206" s="79">
        <f t="shared" si="105"/>
        <v>0</v>
      </c>
      <c r="BK206" s="79"/>
      <c r="BL206" s="169">
        <v>1000000</v>
      </c>
      <c r="BM206" s="144" t="s">
        <v>99</v>
      </c>
      <c r="BN206" s="310" t="s">
        <v>73</v>
      </c>
    </row>
    <row r="207" spans="1:66" s="81" customFormat="1" ht="25.5">
      <c r="A207" s="56">
        <f>A205+1</f>
        <v>154</v>
      </c>
      <c r="B207" s="57" t="s">
        <v>347</v>
      </c>
      <c r="C207" s="58" t="s">
        <v>348</v>
      </c>
      <c r="D207" s="57" t="s">
        <v>64</v>
      </c>
      <c r="E207" s="57" t="s">
        <v>65</v>
      </c>
      <c r="F207" s="57"/>
      <c r="G207" s="57"/>
      <c r="H207" s="60">
        <v>43586</v>
      </c>
      <c r="I207" s="60">
        <v>43586</v>
      </c>
      <c r="J207" s="62">
        <v>5000000</v>
      </c>
      <c r="K207" s="63">
        <v>7.7499999999999999E-2</v>
      </c>
      <c r="L207" s="63">
        <v>7.4999999999999997E-2</v>
      </c>
      <c r="M207" s="64">
        <v>0.9</v>
      </c>
      <c r="N207" s="65">
        <v>7</v>
      </c>
      <c r="O207" s="65">
        <v>4</v>
      </c>
      <c r="P207" s="64">
        <v>12</v>
      </c>
      <c r="Q207" s="65">
        <f t="shared" ref="Q207:Q222" si="106">J207*K207*M207*N207/P207</f>
        <v>203437.5</v>
      </c>
      <c r="R207" s="65">
        <f t="shared" si="93"/>
        <v>3033280.3294915948</v>
      </c>
      <c r="S207" s="65">
        <f t="shared" ref="S207:S222" si="107">R207*K207*M207*N207/P207</f>
        <v>123416.59340618925</v>
      </c>
      <c r="T207" s="65">
        <f t="shared" si="94"/>
        <v>80020.906593810752</v>
      </c>
      <c r="U207" s="66">
        <v>0.606656065898319</v>
      </c>
      <c r="V207" s="65"/>
      <c r="W207" s="64"/>
      <c r="X207" s="65">
        <f t="shared" si="91"/>
        <v>3033280.3294915948</v>
      </c>
      <c r="Y207" s="65">
        <f t="shared" si="91"/>
        <v>123416.59340618925</v>
      </c>
      <c r="Z207" s="67">
        <f t="shared" si="92"/>
        <v>3033280.3294915948</v>
      </c>
      <c r="AA207" s="67">
        <f t="shared" si="92"/>
        <v>123416.59340618925</v>
      </c>
      <c r="AB207" s="67"/>
      <c r="AC207" s="67"/>
      <c r="AD207" s="67">
        <f t="shared" si="101"/>
        <v>123416.59340618925</v>
      </c>
      <c r="AE207" s="68">
        <v>2123296.2306441162</v>
      </c>
      <c r="AF207" s="68">
        <f t="shared" ref="AF207:AF222" si="108">AD207/K207/M207/9*P207</f>
        <v>2359218.0340490183</v>
      </c>
      <c r="AG207" s="68"/>
      <c r="AH207" s="69"/>
      <c r="AI207" s="69"/>
      <c r="AJ207" s="70"/>
      <c r="AK207" s="70"/>
      <c r="AL207" s="71"/>
      <c r="AM207" s="69">
        <f t="shared" si="89"/>
        <v>123416.59340618925</v>
      </c>
      <c r="AN207" s="69"/>
      <c r="AO207" s="69"/>
      <c r="AP207" s="69"/>
      <c r="AQ207" s="69">
        <f t="shared" si="88"/>
        <v>123416.59340618925</v>
      </c>
      <c r="AR207" s="69"/>
      <c r="AS207" s="69">
        <f t="shared" si="102"/>
        <v>123416.59340618925</v>
      </c>
      <c r="AT207" s="69">
        <f t="shared" si="103"/>
        <v>112500</v>
      </c>
      <c r="AU207" s="72">
        <f t="shared" ref="AU207:AU222" si="109">AD207/K207/M207/8*P207</f>
        <v>2654120.2883051452</v>
      </c>
      <c r="AV207" s="72"/>
      <c r="AW207" s="72"/>
      <c r="AX207" s="73"/>
      <c r="AY207" s="74"/>
      <c r="AZ207" s="74"/>
      <c r="BA207" s="75"/>
      <c r="BB207" s="76">
        <f t="shared" si="90"/>
        <v>2654120.2883051452</v>
      </c>
      <c r="BC207" s="76">
        <f t="shared" ref="BC207:BC222" si="110">AM207/K207/M207/7*P207</f>
        <v>3033280.3294915948</v>
      </c>
      <c r="BD207" s="77"/>
      <c r="BE207" s="77"/>
      <c r="BF207" s="77"/>
      <c r="BG207" s="78">
        <f t="shared" ref="BG207:BG222" si="111">AQ207/K207/M207/6*P207</f>
        <v>3538827.051073527</v>
      </c>
      <c r="BH207" s="78"/>
      <c r="BI207" s="78">
        <f t="shared" si="104"/>
        <v>10916.593406189248</v>
      </c>
      <c r="BJ207" s="79">
        <f t="shared" si="105"/>
        <v>5485181.9291639673</v>
      </c>
      <c r="BK207" s="79">
        <v>5000000</v>
      </c>
      <c r="BL207" s="79">
        <v>5000000</v>
      </c>
      <c r="BM207" s="190" t="s">
        <v>290</v>
      </c>
      <c r="BN207" s="81" t="s">
        <v>64</v>
      </c>
    </row>
    <row r="208" spans="1:66" s="81" customFormat="1" ht="25.5">
      <c r="A208" s="56">
        <f t="shared" si="87"/>
        <v>155</v>
      </c>
      <c r="B208" s="57" t="s">
        <v>349</v>
      </c>
      <c r="C208" s="58" t="s">
        <v>350</v>
      </c>
      <c r="D208" s="57" t="s">
        <v>64</v>
      </c>
      <c r="E208" s="57" t="s">
        <v>65</v>
      </c>
      <c r="F208" s="57"/>
      <c r="G208" s="57"/>
      <c r="H208" s="60">
        <v>43770</v>
      </c>
      <c r="I208" s="60">
        <v>43770</v>
      </c>
      <c r="J208" s="62">
        <v>3000000</v>
      </c>
      <c r="K208" s="63">
        <v>7.7499999999999999E-2</v>
      </c>
      <c r="L208" s="63">
        <v>7.4999999999999997E-2</v>
      </c>
      <c r="M208" s="64">
        <v>0.9</v>
      </c>
      <c r="N208" s="65">
        <v>1</v>
      </c>
      <c r="O208" s="65">
        <v>0</v>
      </c>
      <c r="P208" s="64">
        <v>12</v>
      </c>
      <c r="Q208" s="65">
        <f t="shared" si="106"/>
        <v>17437.5</v>
      </c>
      <c r="R208" s="65">
        <f t="shared" si="93"/>
        <v>1819968.197694957</v>
      </c>
      <c r="S208" s="65">
        <f t="shared" si="107"/>
        <v>10578.565149101938</v>
      </c>
      <c r="T208" s="65">
        <f t="shared" si="94"/>
        <v>6858.934850898062</v>
      </c>
      <c r="U208" s="66">
        <v>0.606656065898319</v>
      </c>
      <c r="V208" s="65"/>
      <c r="W208" s="64"/>
      <c r="X208" s="65">
        <f t="shared" si="91"/>
        <v>1819968.197694957</v>
      </c>
      <c r="Y208" s="65">
        <f t="shared" si="91"/>
        <v>10578.565149101938</v>
      </c>
      <c r="Z208" s="67">
        <f t="shared" si="92"/>
        <v>1819968.197694957</v>
      </c>
      <c r="AA208" s="67">
        <f t="shared" si="92"/>
        <v>10578.565149101938</v>
      </c>
      <c r="AB208" s="67"/>
      <c r="AC208" s="67"/>
      <c r="AD208" s="67">
        <f t="shared" si="101"/>
        <v>10578.565149101938</v>
      </c>
      <c r="AE208" s="68">
        <v>181996.81976949569</v>
      </c>
      <c r="AF208" s="68">
        <f t="shared" si="108"/>
        <v>202218.688632773</v>
      </c>
      <c r="AG208" s="68"/>
      <c r="AH208" s="69"/>
      <c r="AI208" s="69"/>
      <c r="AJ208" s="70"/>
      <c r="AK208" s="70"/>
      <c r="AL208" s="71"/>
      <c r="AM208" s="69">
        <f t="shared" si="89"/>
        <v>10578.565149101938</v>
      </c>
      <c r="AN208" s="69"/>
      <c r="AO208" s="69"/>
      <c r="AP208" s="69"/>
      <c r="AQ208" s="69">
        <f t="shared" si="88"/>
        <v>10578.565149101938</v>
      </c>
      <c r="AR208" s="69"/>
      <c r="AS208" s="69">
        <f t="shared" si="102"/>
        <v>10578.565149101938</v>
      </c>
      <c r="AT208" s="69">
        <f t="shared" si="103"/>
        <v>10578.565125000001</v>
      </c>
      <c r="AU208" s="72">
        <f t="shared" si="109"/>
        <v>227496.02471186963</v>
      </c>
      <c r="AV208" s="72"/>
      <c r="AW208" s="72"/>
      <c r="AX208" s="73"/>
      <c r="AY208" s="74"/>
      <c r="AZ208" s="74"/>
      <c r="BA208" s="75"/>
      <c r="BB208" s="76">
        <f t="shared" si="90"/>
        <v>227496.02471186963</v>
      </c>
      <c r="BC208" s="76">
        <f t="shared" si="110"/>
        <v>259995.45681356528</v>
      </c>
      <c r="BD208" s="77"/>
      <c r="BE208" s="77"/>
      <c r="BF208" s="77"/>
      <c r="BG208" s="78">
        <f t="shared" si="111"/>
        <v>303328.0329491595</v>
      </c>
      <c r="BH208" s="78"/>
      <c r="BI208" s="78">
        <f t="shared" si="104"/>
        <v>2.4101937015075237E-5</v>
      </c>
      <c r="BJ208" s="79">
        <f t="shared" si="105"/>
        <v>470158.45107119717</v>
      </c>
      <c r="BK208" s="79">
        <v>470158.45</v>
      </c>
      <c r="BL208" s="79">
        <v>3000000</v>
      </c>
      <c r="BM208" s="190" t="s">
        <v>290</v>
      </c>
      <c r="BN208" s="81" t="s">
        <v>64</v>
      </c>
    </row>
    <row r="209" spans="1:66" s="112" customFormat="1" ht="25.5">
      <c r="A209" s="84">
        <f t="shared" si="87"/>
        <v>156</v>
      </c>
      <c r="B209" s="85" t="s">
        <v>351</v>
      </c>
      <c r="C209" s="86" t="s">
        <v>352</v>
      </c>
      <c r="D209" s="85" t="s">
        <v>64</v>
      </c>
      <c r="E209" s="87" t="s">
        <v>65</v>
      </c>
      <c r="F209" s="89"/>
      <c r="G209" s="89"/>
      <c r="H209" s="90">
        <v>43586</v>
      </c>
      <c r="I209" s="90">
        <v>43586</v>
      </c>
      <c r="J209" s="91">
        <v>3000000</v>
      </c>
      <c r="K209" s="92">
        <v>7.7499999999999999E-2</v>
      </c>
      <c r="L209" s="63">
        <v>7.4999999999999997E-2</v>
      </c>
      <c r="M209" s="93">
        <v>0.9</v>
      </c>
      <c r="N209" s="94">
        <v>7</v>
      </c>
      <c r="O209" s="94"/>
      <c r="P209" s="93">
        <v>12</v>
      </c>
      <c r="Q209" s="95">
        <f t="shared" si="106"/>
        <v>122062.5</v>
      </c>
      <c r="R209" s="94">
        <f t="shared" si="93"/>
        <v>1819968.197694957</v>
      </c>
      <c r="S209" s="95">
        <f t="shared" si="107"/>
        <v>74049.956043713566</v>
      </c>
      <c r="T209" s="95">
        <f t="shared" si="94"/>
        <v>48012.543956286434</v>
      </c>
      <c r="U209" s="96">
        <v>0.606656065898319</v>
      </c>
      <c r="V209" s="254">
        <v>2500000</v>
      </c>
      <c r="W209" s="122">
        <v>145312.5</v>
      </c>
      <c r="X209" s="95">
        <f t="shared" si="91"/>
        <v>-680031.80230504298</v>
      </c>
      <c r="Y209" s="95">
        <f t="shared" si="91"/>
        <v>-71262.543956286434</v>
      </c>
      <c r="Z209" s="98">
        <f t="shared" si="92"/>
        <v>-680031.80230504298</v>
      </c>
      <c r="AA209" s="98">
        <f t="shared" si="92"/>
        <v>-71262.543956286434</v>
      </c>
      <c r="AB209" s="98"/>
      <c r="AC209" s="98"/>
      <c r="AD209" s="98">
        <f t="shared" si="101"/>
        <v>-71262.543956286434</v>
      </c>
      <c r="AE209" s="100">
        <v>-1226022.2616135301</v>
      </c>
      <c r="AF209" s="100">
        <f t="shared" si="108"/>
        <v>-1362246.9573483667</v>
      </c>
      <c r="AG209" s="100"/>
      <c r="AH209" s="101"/>
      <c r="AI209" s="101"/>
      <c r="AJ209" s="101"/>
      <c r="AK209" s="101"/>
      <c r="AL209" s="101"/>
      <c r="AM209" s="104">
        <f t="shared" si="89"/>
        <v>-71262.543956286434</v>
      </c>
      <c r="AN209" s="104"/>
      <c r="AO209" s="104"/>
      <c r="AP209" s="104"/>
      <c r="AQ209" s="104">
        <f t="shared" si="88"/>
        <v>-71262.543956286434</v>
      </c>
      <c r="AR209" s="104"/>
      <c r="AS209" s="104">
        <f t="shared" si="102"/>
        <v>-71262.543956286434</v>
      </c>
      <c r="AT209" s="104">
        <f t="shared" si="103"/>
        <v>0</v>
      </c>
      <c r="AU209" s="105">
        <f t="shared" si="109"/>
        <v>-1532527.8270169126</v>
      </c>
      <c r="AV209" s="106"/>
      <c r="AW209" s="106"/>
      <c r="AX209" s="107"/>
      <c r="AY209" s="107"/>
      <c r="AZ209" s="107"/>
      <c r="BA209" s="107"/>
      <c r="BB209" s="108">
        <f t="shared" si="90"/>
        <v>-1532527.8270169126</v>
      </c>
      <c r="BC209" s="108">
        <f t="shared" si="110"/>
        <v>-1751460.3737336141</v>
      </c>
      <c r="BD209" s="109"/>
      <c r="BE209" s="109"/>
      <c r="BF209" s="109"/>
      <c r="BG209" s="110">
        <f t="shared" si="111"/>
        <v>-2043370.4360225501</v>
      </c>
      <c r="BH209" s="110"/>
      <c r="BI209" s="110"/>
      <c r="BJ209" s="123">
        <f t="shared" si="105"/>
        <v>-3167224.1758349529</v>
      </c>
      <c r="BK209" s="116"/>
      <c r="BL209" s="79"/>
      <c r="BM209" s="111"/>
    </row>
    <row r="210" spans="1:66" s="81" customFormat="1" ht="25.5">
      <c r="A210" s="56">
        <f t="shared" si="87"/>
        <v>157</v>
      </c>
      <c r="B210" s="57" t="s">
        <v>353</v>
      </c>
      <c r="C210" s="58" t="s">
        <v>354</v>
      </c>
      <c r="D210" s="57" t="s">
        <v>64</v>
      </c>
      <c r="E210" s="57" t="s">
        <v>65</v>
      </c>
      <c r="F210" s="57"/>
      <c r="G210" s="57"/>
      <c r="H210" s="60">
        <v>43739</v>
      </c>
      <c r="I210" s="60">
        <v>43739</v>
      </c>
      <c r="J210" s="62">
        <v>10000000</v>
      </c>
      <c r="K210" s="63">
        <v>7.7499999999999999E-2</v>
      </c>
      <c r="L210" s="63">
        <v>7.4999999999999997E-2</v>
      </c>
      <c r="M210" s="64">
        <v>0.9</v>
      </c>
      <c r="N210" s="65">
        <v>2</v>
      </c>
      <c r="O210" s="65">
        <v>2</v>
      </c>
      <c r="P210" s="64">
        <v>12</v>
      </c>
      <c r="Q210" s="65">
        <f t="shared" si="106"/>
        <v>116250</v>
      </c>
      <c r="R210" s="65">
        <f t="shared" si="93"/>
        <v>6066560.6589831896</v>
      </c>
      <c r="S210" s="65">
        <f t="shared" si="107"/>
        <v>70523.767660679572</v>
      </c>
      <c r="T210" s="65">
        <f>Q210-S210</f>
        <v>45726.232339320428</v>
      </c>
      <c r="U210" s="66">
        <v>0.606656065898319</v>
      </c>
      <c r="V210" s="65"/>
      <c r="W210" s="64"/>
      <c r="X210" s="65">
        <f t="shared" si="91"/>
        <v>6066560.6589831896</v>
      </c>
      <c r="Y210" s="65">
        <f t="shared" si="91"/>
        <v>70523.767660679572</v>
      </c>
      <c r="Z210" s="67">
        <f t="shared" si="92"/>
        <v>6066560.6589831896</v>
      </c>
      <c r="AA210" s="67">
        <f t="shared" si="92"/>
        <v>70523.767660679572</v>
      </c>
      <c r="AB210" s="67"/>
      <c r="AC210" s="67"/>
      <c r="AD210" s="67">
        <f t="shared" si="101"/>
        <v>70523.767660679572</v>
      </c>
      <c r="AE210" s="68">
        <v>1213312.1317966378</v>
      </c>
      <c r="AF210" s="68">
        <f t="shared" si="108"/>
        <v>1348124.5908851533</v>
      </c>
      <c r="AG210" s="68"/>
      <c r="AH210" s="69"/>
      <c r="AI210" s="69"/>
      <c r="AJ210" s="70"/>
      <c r="AK210" s="70"/>
      <c r="AL210" s="71"/>
      <c r="AM210" s="69">
        <f t="shared" si="89"/>
        <v>70523.767660679572</v>
      </c>
      <c r="AN210" s="69"/>
      <c r="AO210" s="69"/>
      <c r="AP210" s="69"/>
      <c r="AQ210" s="69">
        <f t="shared" si="88"/>
        <v>70523.767660679572</v>
      </c>
      <c r="AR210" s="69"/>
      <c r="AS210" s="69">
        <f t="shared" si="102"/>
        <v>70523.767660679572</v>
      </c>
      <c r="AT210" s="69">
        <f t="shared" si="103"/>
        <v>70523.767574999991</v>
      </c>
      <c r="AU210" s="72">
        <f t="shared" si="109"/>
        <v>1516640.1647457974</v>
      </c>
      <c r="AV210" s="72"/>
      <c r="AW210" s="72"/>
      <c r="AX210" s="73"/>
      <c r="AY210" s="74"/>
      <c r="AZ210" s="74"/>
      <c r="BA210" s="75"/>
      <c r="BB210" s="76">
        <f t="shared" si="90"/>
        <v>1516640.1647457974</v>
      </c>
      <c r="BC210" s="76">
        <f t="shared" si="110"/>
        <v>1733303.0454237685</v>
      </c>
      <c r="BD210" s="77"/>
      <c r="BE210" s="77"/>
      <c r="BF210" s="77"/>
      <c r="BG210" s="78">
        <f t="shared" si="111"/>
        <v>2022186.88632773</v>
      </c>
      <c r="BH210" s="78"/>
      <c r="BI210" s="78">
        <f t="shared" si="104"/>
        <v>8.5679581388831139E-5</v>
      </c>
      <c r="BJ210" s="79">
        <f t="shared" si="105"/>
        <v>3134389.673807981</v>
      </c>
      <c r="BK210" s="79">
        <v>3134389.67</v>
      </c>
      <c r="BL210" s="79">
        <v>10000000</v>
      </c>
      <c r="BM210" s="190" t="s">
        <v>290</v>
      </c>
      <c r="BN210" s="81" t="s">
        <v>64</v>
      </c>
    </row>
    <row r="211" spans="1:66" s="185" customFormat="1" ht="25.5">
      <c r="A211" s="171">
        <f t="shared" si="87"/>
        <v>158</v>
      </c>
      <c r="B211" s="87" t="s">
        <v>355</v>
      </c>
      <c r="C211" s="172" t="s">
        <v>356</v>
      </c>
      <c r="D211" s="87" t="s">
        <v>64</v>
      </c>
      <c r="E211" s="87" t="s">
        <v>98</v>
      </c>
      <c r="F211" s="87"/>
      <c r="G211" s="87"/>
      <c r="H211" s="174">
        <v>43497</v>
      </c>
      <c r="I211" s="174" t="s">
        <v>94</v>
      </c>
      <c r="J211" s="175">
        <v>5000000</v>
      </c>
      <c r="K211" s="121">
        <v>7.7499999999999999E-2</v>
      </c>
      <c r="L211" s="63">
        <v>7.4999999999999997E-2</v>
      </c>
      <c r="M211" s="176">
        <v>0.9</v>
      </c>
      <c r="N211" s="177">
        <v>10</v>
      </c>
      <c r="O211" s="177"/>
      <c r="P211" s="176">
        <v>12</v>
      </c>
      <c r="Q211" s="177">
        <f t="shared" si="106"/>
        <v>290625</v>
      </c>
      <c r="R211" s="177">
        <f t="shared" si="93"/>
        <v>3033280.3294915948</v>
      </c>
      <c r="S211" s="177">
        <f t="shared" si="107"/>
        <v>176309.41915169894</v>
      </c>
      <c r="T211" s="177">
        <f t="shared" si="94"/>
        <v>114315.58084830106</v>
      </c>
      <c r="U211" s="178">
        <v>0.606656065898319</v>
      </c>
      <c r="V211" s="177"/>
      <c r="W211" s="176"/>
      <c r="X211" s="177">
        <f t="shared" si="91"/>
        <v>3033280.3294915948</v>
      </c>
      <c r="Y211" s="177">
        <f t="shared" si="91"/>
        <v>176309.41915169894</v>
      </c>
      <c r="Z211" s="179">
        <f t="shared" si="92"/>
        <v>3033280.3294915948</v>
      </c>
      <c r="AA211" s="179">
        <f t="shared" si="92"/>
        <v>176309.41915169894</v>
      </c>
      <c r="AB211" s="179"/>
      <c r="AC211" s="179"/>
      <c r="AD211" s="179">
        <f t="shared" si="101"/>
        <v>176309.41915169894</v>
      </c>
      <c r="AE211" s="180">
        <v>5763232.6260340307</v>
      </c>
      <c r="AF211" s="180">
        <f t="shared" si="108"/>
        <v>3370311.4772128826</v>
      </c>
      <c r="AG211" s="180"/>
      <c r="AH211" s="104"/>
      <c r="AI211" s="104"/>
      <c r="AJ211" s="104">
        <v>176309.42</v>
      </c>
      <c r="AK211" s="104"/>
      <c r="AL211" s="104"/>
      <c r="AM211" s="104">
        <f t="shared" si="89"/>
        <v>-8.4830107516609132E-4</v>
      </c>
      <c r="AN211" s="104"/>
      <c r="AO211" s="104"/>
      <c r="AP211" s="104"/>
      <c r="AQ211" s="104">
        <f t="shared" si="88"/>
        <v>-8.4830107516609132E-4</v>
      </c>
      <c r="AR211" s="104"/>
      <c r="AS211" s="69">
        <f t="shared" si="102"/>
        <v>-8.4830107516609132E-4</v>
      </c>
      <c r="AT211" s="104">
        <f t="shared" si="103"/>
        <v>0</v>
      </c>
      <c r="AU211" s="181">
        <f t="shared" si="109"/>
        <v>3791600.411864493</v>
      </c>
      <c r="AV211" s="181"/>
      <c r="AW211" s="181"/>
      <c r="AX211" s="182"/>
      <c r="AY211" s="181">
        <f>AJ211/K211/M211/7*12</f>
        <v>4333257.6344086025</v>
      </c>
      <c r="AZ211" s="181"/>
      <c r="BA211" s="181"/>
      <c r="BB211" s="108">
        <f t="shared" si="90"/>
        <v>-541657.22254410945</v>
      </c>
      <c r="BC211" s="108">
        <f t="shared" si="110"/>
        <v>-2.0849181570902396E-2</v>
      </c>
      <c r="BD211" s="183"/>
      <c r="BE211" s="183"/>
      <c r="BF211" s="183"/>
      <c r="BG211" s="110">
        <f t="shared" si="111"/>
        <v>-2.4324045166052796E-2</v>
      </c>
      <c r="BH211" s="110"/>
      <c r="BI211" s="110">
        <f t="shared" si="104"/>
        <v>-8.4830107516609132E-4</v>
      </c>
      <c r="BJ211" s="116">
        <f t="shared" si="105"/>
        <v>-3.7702270007381841E-2</v>
      </c>
      <c r="BK211" s="116"/>
      <c r="BL211" s="79"/>
      <c r="BM211" s="184"/>
    </row>
    <row r="212" spans="1:66" s="5" customFormat="1" ht="25.5">
      <c r="A212" s="126">
        <f t="shared" si="87"/>
        <v>159</v>
      </c>
      <c r="B212" s="127" t="s">
        <v>355</v>
      </c>
      <c r="C212" s="140" t="s">
        <v>356</v>
      </c>
      <c r="D212" s="127" t="s">
        <v>120</v>
      </c>
      <c r="E212" s="141" t="s">
        <v>98</v>
      </c>
      <c r="F212" s="127"/>
      <c r="G212" s="127"/>
      <c r="H212" s="129">
        <v>43556</v>
      </c>
      <c r="I212" s="129">
        <v>43556</v>
      </c>
      <c r="J212" s="130">
        <v>5000000</v>
      </c>
      <c r="K212" s="142">
        <v>7.7499999999999999E-2</v>
      </c>
      <c r="L212" s="63">
        <v>7.4999999999999997E-2</v>
      </c>
      <c r="M212" s="133">
        <v>0.9</v>
      </c>
      <c r="N212" s="131">
        <v>8</v>
      </c>
      <c r="O212" s="131">
        <v>4</v>
      </c>
      <c r="P212" s="133">
        <v>12</v>
      </c>
      <c r="Q212" s="131">
        <f t="shared" si="106"/>
        <v>232500</v>
      </c>
      <c r="R212" s="131">
        <f t="shared" si="93"/>
        <v>3033280.3294915948</v>
      </c>
      <c r="S212" s="131">
        <f t="shared" si="107"/>
        <v>141047.53532135914</v>
      </c>
      <c r="T212" s="131">
        <f t="shared" si="94"/>
        <v>91452.464678640856</v>
      </c>
      <c r="U212" s="132">
        <v>0.606656065898319</v>
      </c>
      <c r="V212" s="131"/>
      <c r="W212" s="133"/>
      <c r="X212" s="131">
        <f t="shared" si="91"/>
        <v>3033280.3294915948</v>
      </c>
      <c r="Y212" s="131">
        <f t="shared" si="91"/>
        <v>141047.53532135914</v>
      </c>
      <c r="Z212" s="134">
        <f t="shared" si="92"/>
        <v>3033280.3294915948</v>
      </c>
      <c r="AA212" s="134">
        <f t="shared" si="92"/>
        <v>141047.53532135914</v>
      </c>
      <c r="AB212" s="134"/>
      <c r="AC212" s="134"/>
      <c r="AD212" s="134">
        <f t="shared" si="101"/>
        <v>141047.53532135914</v>
      </c>
      <c r="AE212" s="135">
        <v>0</v>
      </c>
      <c r="AF212" s="135">
        <f t="shared" si="108"/>
        <v>2696249.1817703065</v>
      </c>
      <c r="AG212" s="135"/>
      <c r="AH212" s="70"/>
      <c r="AI212" s="70"/>
      <c r="AJ212" s="70">
        <f>203437.5-176309.42</f>
        <v>27128.079999999987</v>
      </c>
      <c r="AK212" s="70"/>
      <c r="AL212" s="71"/>
      <c r="AM212" s="69">
        <f t="shared" si="89"/>
        <v>113919.45532135916</v>
      </c>
      <c r="AN212" s="69"/>
      <c r="AO212" s="69"/>
      <c r="AP212" s="69"/>
      <c r="AQ212" s="69">
        <f t="shared" si="88"/>
        <v>113919.45532135916</v>
      </c>
      <c r="AR212" s="69"/>
      <c r="AS212" s="69">
        <f t="shared" si="102"/>
        <v>113919.45532135916</v>
      </c>
      <c r="AT212" s="69">
        <f t="shared" si="103"/>
        <v>113919.45525</v>
      </c>
      <c r="AU212" s="136">
        <f t="shared" si="109"/>
        <v>3033280.3294915948</v>
      </c>
      <c r="AV212" s="136"/>
      <c r="AW212" s="136"/>
      <c r="AX212" s="74"/>
      <c r="AY212" s="136">
        <f>AJ212/K212/M212/7*12</f>
        <v>666742.36559139751</v>
      </c>
      <c r="AZ212" s="136"/>
      <c r="BA212" s="250"/>
      <c r="BB212" s="76">
        <f t="shared" si="90"/>
        <v>2366537.9639001973</v>
      </c>
      <c r="BC212" s="76">
        <f t="shared" si="110"/>
        <v>2799863.7252561385</v>
      </c>
      <c r="BD212" s="138"/>
      <c r="BE212" s="138"/>
      <c r="BF212" s="138"/>
      <c r="BG212" s="78">
        <f t="shared" si="111"/>
        <v>3266507.679465495</v>
      </c>
      <c r="BH212" s="78"/>
      <c r="BI212" s="78">
        <f t="shared" si="104"/>
        <v>7.1359158027917147E-5</v>
      </c>
      <c r="BJ212" s="79">
        <f t="shared" si="105"/>
        <v>5063086.9031715179</v>
      </c>
      <c r="BK212" s="79">
        <v>5063086.9000000004</v>
      </c>
      <c r="BL212" s="79">
        <v>5000000</v>
      </c>
      <c r="BM212" s="186" t="s">
        <v>72</v>
      </c>
      <c r="BN212" s="252" t="s">
        <v>186</v>
      </c>
    </row>
    <row r="213" spans="1:66" s="5" customFormat="1" ht="25.5">
      <c r="A213" s="126">
        <f t="shared" si="87"/>
        <v>160</v>
      </c>
      <c r="B213" s="127" t="s">
        <v>355</v>
      </c>
      <c r="C213" s="140" t="s">
        <v>356</v>
      </c>
      <c r="D213" s="127" t="s">
        <v>120</v>
      </c>
      <c r="E213" s="141" t="s">
        <v>98</v>
      </c>
      <c r="F213" s="127"/>
      <c r="G213" s="127"/>
      <c r="H213" s="129">
        <v>43770</v>
      </c>
      <c r="I213" s="129">
        <v>43770</v>
      </c>
      <c r="J213" s="130">
        <v>5000000</v>
      </c>
      <c r="K213" s="142">
        <v>7.7499999999999999E-2</v>
      </c>
      <c r="L213" s="63">
        <v>7.4999999999999997E-2</v>
      </c>
      <c r="M213" s="133">
        <v>0.9</v>
      </c>
      <c r="N213" s="131">
        <v>1</v>
      </c>
      <c r="O213" s="131">
        <v>1</v>
      </c>
      <c r="P213" s="133">
        <v>12</v>
      </c>
      <c r="Q213" s="131">
        <f t="shared" si="106"/>
        <v>29062.5</v>
      </c>
      <c r="R213" s="131">
        <f t="shared" si="93"/>
        <v>3033280.3294915948</v>
      </c>
      <c r="S213" s="131">
        <f t="shared" si="107"/>
        <v>17630.941915169893</v>
      </c>
      <c r="T213" s="131">
        <f t="shared" si="94"/>
        <v>11431.558084830107</v>
      </c>
      <c r="U213" s="132">
        <v>0.606656065898319</v>
      </c>
      <c r="V213" s="131"/>
      <c r="W213" s="133"/>
      <c r="X213" s="131">
        <f t="shared" si="91"/>
        <v>3033280.3294915948</v>
      </c>
      <c r="Y213" s="131">
        <f t="shared" si="91"/>
        <v>17630.941915169893</v>
      </c>
      <c r="Z213" s="134">
        <f t="shared" si="92"/>
        <v>3033280.3294915948</v>
      </c>
      <c r="AA213" s="134">
        <f t="shared" si="92"/>
        <v>17630.941915169893</v>
      </c>
      <c r="AB213" s="134"/>
      <c r="AC213" s="134"/>
      <c r="AD213" s="134">
        <f t="shared" si="101"/>
        <v>17630.941915169893</v>
      </c>
      <c r="AE213" s="135">
        <v>0</v>
      </c>
      <c r="AF213" s="135">
        <f t="shared" si="108"/>
        <v>337031.14772128832</v>
      </c>
      <c r="AG213" s="135"/>
      <c r="AH213" s="70"/>
      <c r="AI213" s="70"/>
      <c r="AJ213" s="70"/>
      <c r="AK213" s="70"/>
      <c r="AL213" s="71"/>
      <c r="AM213" s="69">
        <f t="shared" si="89"/>
        <v>17630.941915169893</v>
      </c>
      <c r="AN213" s="69"/>
      <c r="AO213" s="69"/>
      <c r="AP213" s="69"/>
      <c r="AQ213" s="69">
        <f t="shared" si="88"/>
        <v>17630.941915169893</v>
      </c>
      <c r="AR213" s="69"/>
      <c r="AS213" s="69">
        <f t="shared" si="102"/>
        <v>17630.941915169893</v>
      </c>
      <c r="AT213" s="69">
        <f t="shared" si="103"/>
        <v>17630.94195</v>
      </c>
      <c r="AU213" s="136">
        <f t="shared" si="109"/>
        <v>379160.04118644935</v>
      </c>
      <c r="AV213" s="136"/>
      <c r="AW213" s="136"/>
      <c r="AX213" s="74"/>
      <c r="AY213" s="74"/>
      <c r="AZ213" s="74"/>
      <c r="BA213" s="75"/>
      <c r="BB213" s="76">
        <f t="shared" si="90"/>
        <v>379160.04118644935</v>
      </c>
      <c r="BC213" s="76">
        <f t="shared" si="110"/>
        <v>433325.76135594212</v>
      </c>
      <c r="BD213" s="138"/>
      <c r="BE213" s="138"/>
      <c r="BF213" s="138"/>
      <c r="BG213" s="78">
        <f t="shared" si="111"/>
        <v>505546.72158193251</v>
      </c>
      <c r="BH213" s="78"/>
      <c r="BI213" s="78">
        <f t="shared" si="104"/>
        <v>-3.4830107324523851E-5</v>
      </c>
      <c r="BJ213" s="79">
        <f t="shared" si="105"/>
        <v>783597.41845199524</v>
      </c>
      <c r="BK213" s="79">
        <v>783597.42</v>
      </c>
      <c r="BL213" s="79">
        <v>5000000</v>
      </c>
      <c r="BM213" s="186" t="s">
        <v>72</v>
      </c>
      <c r="BN213" s="252" t="s">
        <v>186</v>
      </c>
    </row>
    <row r="214" spans="1:66" s="81" customFormat="1" ht="38.25">
      <c r="A214" s="56">
        <f t="shared" si="87"/>
        <v>161</v>
      </c>
      <c r="B214" s="57" t="s">
        <v>357</v>
      </c>
      <c r="C214" s="58" t="s">
        <v>358</v>
      </c>
      <c r="D214" s="57" t="s">
        <v>64</v>
      </c>
      <c r="E214" s="57" t="s">
        <v>65</v>
      </c>
      <c r="F214" s="57"/>
      <c r="G214" s="57"/>
      <c r="H214" s="60">
        <v>43556</v>
      </c>
      <c r="I214" s="60">
        <v>43556</v>
      </c>
      <c r="J214" s="62">
        <v>1200000</v>
      </c>
      <c r="K214" s="63">
        <v>7.7499999999999999E-2</v>
      </c>
      <c r="L214" s="63">
        <v>7.4999999999999997E-2</v>
      </c>
      <c r="M214" s="64">
        <v>0.9</v>
      </c>
      <c r="N214" s="65">
        <v>8</v>
      </c>
      <c r="O214" s="65">
        <v>4</v>
      </c>
      <c r="P214" s="64">
        <v>12</v>
      </c>
      <c r="Q214" s="65">
        <f t="shared" si="106"/>
        <v>55800</v>
      </c>
      <c r="R214" s="65">
        <f t="shared" si="93"/>
        <v>727987.27907798276</v>
      </c>
      <c r="S214" s="65">
        <f t="shared" si="107"/>
        <v>33851.408477126199</v>
      </c>
      <c r="T214" s="65">
        <f t="shared" si="94"/>
        <v>21948.591522873801</v>
      </c>
      <c r="U214" s="66">
        <v>0.606656065898319</v>
      </c>
      <c r="V214" s="65"/>
      <c r="W214" s="64"/>
      <c r="X214" s="65">
        <f t="shared" si="91"/>
        <v>727987.27907798276</v>
      </c>
      <c r="Y214" s="65">
        <f t="shared" si="91"/>
        <v>33851.408477126199</v>
      </c>
      <c r="Z214" s="67">
        <f t="shared" si="92"/>
        <v>727987.27907798276</v>
      </c>
      <c r="AA214" s="67">
        <f t="shared" si="92"/>
        <v>33851.408477126199</v>
      </c>
      <c r="AB214" s="67"/>
      <c r="AC214" s="67"/>
      <c r="AD214" s="67">
        <f t="shared" si="101"/>
        <v>33851.408477126199</v>
      </c>
      <c r="AE214" s="68">
        <v>582389.82326238626</v>
      </c>
      <c r="AF214" s="68">
        <f t="shared" si="108"/>
        <v>647099.80362487363</v>
      </c>
      <c r="AG214" s="68"/>
      <c r="AH214" s="69"/>
      <c r="AI214" s="69"/>
      <c r="AJ214" s="70">
        <v>20343.75</v>
      </c>
      <c r="AK214" s="70"/>
      <c r="AL214" s="71"/>
      <c r="AM214" s="69">
        <f t="shared" si="89"/>
        <v>13507.658477126199</v>
      </c>
      <c r="AN214" s="69"/>
      <c r="AO214" s="69"/>
      <c r="AP214" s="69"/>
      <c r="AQ214" s="69">
        <f t="shared" si="88"/>
        <v>13507.658477126199</v>
      </c>
      <c r="AR214" s="69"/>
      <c r="AS214" s="69">
        <f t="shared" si="102"/>
        <v>13507.658477126199</v>
      </c>
      <c r="AT214" s="69">
        <f t="shared" si="103"/>
        <v>13507.65855</v>
      </c>
      <c r="AU214" s="72">
        <f t="shared" si="109"/>
        <v>727987.27907798276</v>
      </c>
      <c r="AV214" s="72"/>
      <c r="AW214" s="72"/>
      <c r="AX214" s="73"/>
      <c r="AY214" s="136">
        <v>500000</v>
      </c>
      <c r="AZ214" s="136"/>
      <c r="BA214" s="250"/>
      <c r="BB214" s="76">
        <f t="shared" si="90"/>
        <v>227987.27907798276</v>
      </c>
      <c r="BC214" s="76">
        <f t="shared" si="110"/>
        <v>331985.46180340886</v>
      </c>
      <c r="BD214" s="77"/>
      <c r="BE214" s="77"/>
      <c r="BF214" s="77"/>
      <c r="BG214" s="78">
        <f t="shared" si="111"/>
        <v>387316.37210397702</v>
      </c>
      <c r="BH214" s="78"/>
      <c r="BI214" s="78">
        <f t="shared" si="104"/>
        <v>-7.2873801400419325E-5</v>
      </c>
      <c r="BJ214" s="79">
        <f t="shared" si="105"/>
        <v>600340.3767611644</v>
      </c>
      <c r="BK214" s="79">
        <v>600340.38</v>
      </c>
      <c r="BL214" s="79"/>
      <c r="BM214" s="80"/>
      <c r="BN214" s="81" t="s">
        <v>64</v>
      </c>
    </row>
    <row r="215" spans="1:66" s="81" customFormat="1" ht="38.25">
      <c r="A215" s="171">
        <f t="shared" si="87"/>
        <v>162</v>
      </c>
      <c r="B215" s="87" t="s">
        <v>359</v>
      </c>
      <c r="C215" s="172" t="s">
        <v>360</v>
      </c>
      <c r="D215" s="87" t="s">
        <v>64</v>
      </c>
      <c r="E215" s="87" t="s">
        <v>65</v>
      </c>
      <c r="F215" s="87"/>
      <c r="G215" s="87"/>
      <c r="H215" s="174">
        <v>43525</v>
      </c>
      <c r="I215" s="90" t="s">
        <v>128</v>
      </c>
      <c r="J215" s="175">
        <v>2000000</v>
      </c>
      <c r="K215" s="121">
        <v>7.7499999999999999E-2</v>
      </c>
      <c r="L215" s="63">
        <v>7.4999999999999997E-2</v>
      </c>
      <c r="M215" s="176">
        <v>0.9</v>
      </c>
      <c r="N215" s="177">
        <v>9</v>
      </c>
      <c r="O215" s="177"/>
      <c r="P215" s="176">
        <v>12</v>
      </c>
      <c r="Q215" s="177">
        <f t="shared" si="106"/>
        <v>104625</v>
      </c>
      <c r="R215" s="177">
        <f t="shared" si="93"/>
        <v>1213312.131796638</v>
      </c>
      <c r="S215" s="177">
        <f t="shared" si="107"/>
        <v>63471.390894611628</v>
      </c>
      <c r="T215" s="177">
        <f t="shared" si="94"/>
        <v>41153.609105388372</v>
      </c>
      <c r="U215" s="178">
        <v>0.606656065898319</v>
      </c>
      <c r="V215" s="177"/>
      <c r="W215" s="176"/>
      <c r="X215" s="177">
        <f t="shared" si="91"/>
        <v>1213312.131796638</v>
      </c>
      <c r="Y215" s="177">
        <f t="shared" si="91"/>
        <v>63471.390894611628</v>
      </c>
      <c r="Z215" s="179">
        <f t="shared" si="92"/>
        <v>1213312.131796638</v>
      </c>
      <c r="AA215" s="179">
        <f t="shared" si="92"/>
        <v>63471.390894611628</v>
      </c>
      <c r="AB215" s="179"/>
      <c r="AC215" s="179"/>
      <c r="AD215" s="179">
        <f t="shared" si="101"/>
        <v>63471.390894611628</v>
      </c>
      <c r="AE215" s="180">
        <v>1091980.9186169743</v>
      </c>
      <c r="AF215" s="180">
        <f t="shared" si="108"/>
        <v>1213312.131796638</v>
      </c>
      <c r="AG215" s="180"/>
      <c r="AH215" s="104">
        <v>-63471.39</v>
      </c>
      <c r="AI215" s="104"/>
      <c r="AJ215" s="104"/>
      <c r="AK215" s="104"/>
      <c r="AL215" s="104"/>
      <c r="AM215" s="104">
        <f t="shared" si="89"/>
        <v>8.9461162860970944E-4</v>
      </c>
      <c r="AN215" s="104"/>
      <c r="AO215" s="104"/>
      <c r="AP215" s="104"/>
      <c r="AQ215" s="104">
        <f t="shared" si="88"/>
        <v>8.9461162860970944E-4</v>
      </c>
      <c r="AR215" s="104"/>
      <c r="AS215" s="69">
        <f t="shared" si="102"/>
        <v>8.9461162860970944E-4</v>
      </c>
      <c r="AT215" s="104">
        <f t="shared" si="103"/>
        <v>0</v>
      </c>
      <c r="AU215" s="181">
        <f t="shared" si="109"/>
        <v>1364976.1482712177</v>
      </c>
      <c r="AV215" s="181"/>
      <c r="AW215" s="106">
        <v>-1364976.15</v>
      </c>
      <c r="AX215" s="182"/>
      <c r="AY215" s="182"/>
      <c r="AZ215" s="182"/>
      <c r="BA215" s="182"/>
      <c r="BB215" s="108">
        <f t="shared" si="90"/>
        <v>-1.7287821974605322E-3</v>
      </c>
      <c r="BC215" s="108">
        <f t="shared" si="110"/>
        <v>2.1987382577197158E-2</v>
      </c>
      <c r="BD215" s="183"/>
      <c r="BE215" s="183"/>
      <c r="BF215" s="183"/>
      <c r="BG215" s="110">
        <f t="shared" si="111"/>
        <v>2.5651946340063347E-2</v>
      </c>
      <c r="BH215" s="110"/>
      <c r="BI215" s="110">
        <f t="shared" si="104"/>
        <v>8.9461162860970944E-4</v>
      </c>
      <c r="BJ215" s="116">
        <f t="shared" si="105"/>
        <v>3.9760516827098198E-2</v>
      </c>
      <c r="BK215" s="116"/>
      <c r="BL215" s="79"/>
      <c r="BM215" s="80"/>
    </row>
    <row r="216" spans="1:66" s="81" customFormat="1" ht="25.5">
      <c r="A216" s="56">
        <f t="shared" si="87"/>
        <v>163</v>
      </c>
      <c r="B216" s="57" t="s">
        <v>361</v>
      </c>
      <c r="C216" s="58" t="s">
        <v>362</v>
      </c>
      <c r="D216" s="57" t="s">
        <v>64</v>
      </c>
      <c r="E216" s="57" t="s">
        <v>65</v>
      </c>
      <c r="F216" s="57"/>
      <c r="G216" s="57"/>
      <c r="H216" s="60">
        <v>43556</v>
      </c>
      <c r="I216" s="60">
        <v>43586</v>
      </c>
      <c r="J216" s="62">
        <v>4000000</v>
      </c>
      <c r="K216" s="63">
        <v>7.7499999999999999E-2</v>
      </c>
      <c r="L216" s="63">
        <v>7.4999999999999997E-2</v>
      </c>
      <c r="M216" s="64">
        <v>0.9</v>
      </c>
      <c r="N216" s="65">
        <v>8</v>
      </c>
      <c r="O216" s="65">
        <v>4</v>
      </c>
      <c r="P216" s="64">
        <v>12</v>
      </c>
      <c r="Q216" s="65">
        <f t="shared" si="106"/>
        <v>186000</v>
      </c>
      <c r="R216" s="65">
        <f t="shared" si="93"/>
        <v>2426624.263593276</v>
      </c>
      <c r="S216" s="65">
        <f t="shared" si="107"/>
        <v>112838.02825708734</v>
      </c>
      <c r="T216" s="65">
        <f t="shared" si="94"/>
        <v>73161.971742912661</v>
      </c>
      <c r="U216" s="66">
        <v>0.606656065898319</v>
      </c>
      <c r="V216" s="65"/>
      <c r="W216" s="64"/>
      <c r="X216" s="65">
        <f t="shared" si="91"/>
        <v>2426624.263593276</v>
      </c>
      <c r="Y216" s="65">
        <f t="shared" si="91"/>
        <v>112838.02825708734</v>
      </c>
      <c r="Z216" s="67">
        <f t="shared" si="92"/>
        <v>2426624.263593276</v>
      </c>
      <c r="AA216" s="67">
        <f t="shared" si="92"/>
        <v>112838.02825708734</v>
      </c>
      <c r="AB216" s="67"/>
      <c r="AC216" s="67"/>
      <c r="AD216" s="67">
        <f t="shared" si="101"/>
        <v>112838.02825708734</v>
      </c>
      <c r="AE216" s="68">
        <v>1941299.410874621</v>
      </c>
      <c r="AF216" s="68">
        <f t="shared" si="108"/>
        <v>2156999.3454162455</v>
      </c>
      <c r="AG216" s="68"/>
      <c r="AH216" s="69"/>
      <c r="AI216" s="69"/>
      <c r="AJ216" s="70"/>
      <c r="AK216" s="70"/>
      <c r="AL216" s="71"/>
      <c r="AM216" s="69">
        <f t="shared" si="89"/>
        <v>112838.02825708734</v>
      </c>
      <c r="AN216" s="69"/>
      <c r="AO216" s="69"/>
      <c r="AP216" s="69"/>
      <c r="AQ216" s="69">
        <f t="shared" si="88"/>
        <v>112838.02825708734</v>
      </c>
      <c r="AR216" s="69"/>
      <c r="AS216" s="69">
        <f t="shared" si="102"/>
        <v>112838.02825708734</v>
      </c>
      <c r="AT216" s="69">
        <f t="shared" si="103"/>
        <v>90000</v>
      </c>
      <c r="AU216" s="72">
        <f t="shared" si="109"/>
        <v>2426624.263593276</v>
      </c>
      <c r="AV216" s="72"/>
      <c r="AW216" s="72"/>
      <c r="AX216" s="73"/>
      <c r="AY216" s="74"/>
      <c r="AZ216" s="74"/>
      <c r="BA216" s="75"/>
      <c r="BB216" s="76">
        <f t="shared" si="90"/>
        <v>2426624.263593276</v>
      </c>
      <c r="BC216" s="76">
        <f t="shared" si="110"/>
        <v>2773284.8726780298</v>
      </c>
      <c r="BD216" s="77"/>
      <c r="BE216" s="77"/>
      <c r="BF216" s="77"/>
      <c r="BG216" s="78">
        <f t="shared" si="111"/>
        <v>3235499.018124368</v>
      </c>
      <c r="BH216" s="78"/>
      <c r="BI216" s="78">
        <f t="shared" si="104"/>
        <v>22838.028257087339</v>
      </c>
      <c r="BJ216" s="79">
        <f t="shared" si="105"/>
        <v>5015023.478092771</v>
      </c>
      <c r="BK216" s="79">
        <v>4000000</v>
      </c>
      <c r="BL216" s="79">
        <v>4000000</v>
      </c>
      <c r="BM216" s="186" t="s">
        <v>72</v>
      </c>
      <c r="BN216" s="170" t="s">
        <v>73</v>
      </c>
    </row>
    <row r="217" spans="1:66" s="81" customFormat="1" ht="25.5">
      <c r="A217" s="56">
        <f t="shared" si="87"/>
        <v>164</v>
      </c>
      <c r="B217" s="57" t="s">
        <v>363</v>
      </c>
      <c r="C217" s="58" t="s">
        <v>364</v>
      </c>
      <c r="D217" s="57" t="s">
        <v>64</v>
      </c>
      <c r="E217" s="57" t="s">
        <v>65</v>
      </c>
      <c r="F217" s="57"/>
      <c r="G217" s="57"/>
      <c r="H217" s="60">
        <v>43556</v>
      </c>
      <c r="I217" s="323">
        <v>43617</v>
      </c>
      <c r="J217" s="62">
        <v>2500000</v>
      </c>
      <c r="K217" s="63">
        <v>7.7499999999999999E-2</v>
      </c>
      <c r="L217" s="63">
        <v>7.4999999999999997E-2</v>
      </c>
      <c r="M217" s="64">
        <v>0.9</v>
      </c>
      <c r="N217" s="65">
        <v>8</v>
      </c>
      <c r="O217" s="65">
        <v>4</v>
      </c>
      <c r="P217" s="64">
        <v>12</v>
      </c>
      <c r="Q217" s="65">
        <f t="shared" si="106"/>
        <v>116250</v>
      </c>
      <c r="R217" s="65">
        <f t="shared" si="93"/>
        <v>1516640.1647457974</v>
      </c>
      <c r="S217" s="65">
        <f t="shared" si="107"/>
        <v>70523.767660679572</v>
      </c>
      <c r="T217" s="65">
        <f t="shared" si="94"/>
        <v>45726.232339320428</v>
      </c>
      <c r="U217" s="66">
        <v>0.606656065898319</v>
      </c>
      <c r="V217" s="65"/>
      <c r="W217" s="64"/>
      <c r="X217" s="65">
        <f t="shared" si="91"/>
        <v>1516640.1647457974</v>
      </c>
      <c r="Y217" s="65">
        <f t="shared" si="91"/>
        <v>70523.767660679572</v>
      </c>
      <c r="Z217" s="67">
        <f t="shared" si="92"/>
        <v>1516640.1647457974</v>
      </c>
      <c r="AA217" s="67">
        <f t="shared" si="92"/>
        <v>70523.767660679572</v>
      </c>
      <c r="AB217" s="67"/>
      <c r="AC217" s="67"/>
      <c r="AD217" s="67">
        <f t="shared" si="101"/>
        <v>70523.767660679572</v>
      </c>
      <c r="AE217" s="68">
        <v>1971632.2141695363</v>
      </c>
      <c r="AF217" s="68">
        <f t="shared" si="108"/>
        <v>1348124.5908851533</v>
      </c>
      <c r="AG217" s="68"/>
      <c r="AH217" s="69"/>
      <c r="AI217" s="69"/>
      <c r="AJ217" s="70"/>
      <c r="AK217" s="70"/>
      <c r="AL217" s="71"/>
      <c r="AM217" s="69">
        <f t="shared" si="89"/>
        <v>70523.767660679572</v>
      </c>
      <c r="AN217" s="69"/>
      <c r="AO217" s="69"/>
      <c r="AP217" s="69"/>
      <c r="AQ217" s="69">
        <f t="shared" si="88"/>
        <v>70523.767660679572</v>
      </c>
      <c r="AR217" s="69"/>
      <c r="AS217" s="69">
        <f t="shared" si="102"/>
        <v>70523.767660679572</v>
      </c>
      <c r="AT217" s="69">
        <f t="shared" si="103"/>
        <v>70523.767574999991</v>
      </c>
      <c r="AU217" s="72">
        <f t="shared" si="109"/>
        <v>1516640.1647457974</v>
      </c>
      <c r="AV217" s="72"/>
      <c r="AW217" s="72"/>
      <c r="AX217" s="73"/>
      <c r="AY217" s="74"/>
      <c r="AZ217" s="74"/>
      <c r="BA217" s="75"/>
      <c r="BB217" s="76">
        <f t="shared" si="90"/>
        <v>1516640.1647457974</v>
      </c>
      <c r="BC217" s="76">
        <f t="shared" si="110"/>
        <v>1733303.0454237685</v>
      </c>
      <c r="BD217" s="77"/>
      <c r="BE217" s="77"/>
      <c r="BF217" s="77"/>
      <c r="BG217" s="78">
        <f t="shared" si="111"/>
        <v>2022186.88632773</v>
      </c>
      <c r="BH217" s="78"/>
      <c r="BI217" s="78">
        <f t="shared" si="104"/>
        <v>8.5679581388831139E-5</v>
      </c>
      <c r="BJ217" s="79">
        <f t="shared" si="105"/>
        <v>3134389.673807981</v>
      </c>
      <c r="BK217" s="79">
        <v>3134389.67</v>
      </c>
      <c r="BL217" s="79">
        <v>2500000</v>
      </c>
      <c r="BM217" s="330" t="s">
        <v>365</v>
      </c>
      <c r="BN217" s="81" t="s">
        <v>64</v>
      </c>
    </row>
    <row r="218" spans="1:66" s="81" customFormat="1" ht="25.5">
      <c r="A218" s="56">
        <f t="shared" si="87"/>
        <v>165</v>
      </c>
      <c r="B218" s="57" t="s">
        <v>363</v>
      </c>
      <c r="C218" s="58" t="s">
        <v>366</v>
      </c>
      <c r="D218" s="57" t="s">
        <v>64</v>
      </c>
      <c r="E218" s="57" t="s">
        <v>65</v>
      </c>
      <c r="F218" s="57"/>
      <c r="G218" s="57"/>
      <c r="H218" s="60">
        <v>43647</v>
      </c>
      <c r="I218" s="323">
        <v>43617</v>
      </c>
      <c r="J218" s="62">
        <v>2500000</v>
      </c>
      <c r="K218" s="63">
        <v>7.7499999999999999E-2</v>
      </c>
      <c r="L218" s="63">
        <v>7.4999999999999997E-2</v>
      </c>
      <c r="M218" s="64">
        <v>0.9</v>
      </c>
      <c r="N218" s="65">
        <v>5</v>
      </c>
      <c r="O218" s="65">
        <v>4</v>
      </c>
      <c r="P218" s="64">
        <v>12</v>
      </c>
      <c r="Q218" s="65">
        <f t="shared" si="106"/>
        <v>72656.25</v>
      </c>
      <c r="R218" s="65">
        <f t="shared" si="93"/>
        <v>1516640.1647457974</v>
      </c>
      <c r="S218" s="65">
        <f t="shared" si="107"/>
        <v>44077.354787924734</v>
      </c>
      <c r="T218" s="65">
        <f t="shared" si="94"/>
        <v>28578.895212075266</v>
      </c>
      <c r="U218" s="66">
        <v>0.606656065898319</v>
      </c>
      <c r="V218" s="65"/>
      <c r="W218" s="64"/>
      <c r="X218" s="65">
        <f t="shared" si="91"/>
        <v>1516640.1647457974</v>
      </c>
      <c r="Y218" s="65">
        <f t="shared" si="91"/>
        <v>44077.354787924734</v>
      </c>
      <c r="Z218" s="67">
        <f t="shared" si="92"/>
        <v>1516640.1647457974</v>
      </c>
      <c r="AA218" s="67">
        <f t="shared" si="92"/>
        <v>44077.354787924734</v>
      </c>
      <c r="AB218" s="67"/>
      <c r="AC218" s="67"/>
      <c r="AD218" s="67">
        <f t="shared" si="101"/>
        <v>44077.354787924734</v>
      </c>
      <c r="AE218" s="68">
        <v>0</v>
      </c>
      <c r="AF218" s="68">
        <f t="shared" si="108"/>
        <v>842577.86930322065</v>
      </c>
      <c r="AG218" s="68"/>
      <c r="AH218" s="69"/>
      <c r="AI218" s="69"/>
      <c r="AJ218" s="70"/>
      <c r="AK218" s="70"/>
      <c r="AL218" s="71"/>
      <c r="AM218" s="69">
        <f t="shared" si="89"/>
        <v>44077.354787924734</v>
      </c>
      <c r="AN218" s="69"/>
      <c r="AO218" s="69"/>
      <c r="AP218" s="69"/>
      <c r="AQ218" s="69">
        <f t="shared" si="88"/>
        <v>44077.354787924734</v>
      </c>
      <c r="AR218" s="69"/>
      <c r="AS218" s="69">
        <f t="shared" si="102"/>
        <v>44077.354787924734</v>
      </c>
      <c r="AT218" s="69">
        <f t="shared" si="103"/>
        <v>41976.232425000002</v>
      </c>
      <c r="AU218" s="72">
        <f t="shared" si="109"/>
        <v>947900.10296612326</v>
      </c>
      <c r="AV218" s="72"/>
      <c r="AW218" s="72"/>
      <c r="AX218" s="73"/>
      <c r="AY218" s="74"/>
      <c r="AZ218" s="74"/>
      <c r="BA218" s="75"/>
      <c r="BB218" s="76">
        <f t="shared" si="90"/>
        <v>947900.10296612326</v>
      </c>
      <c r="BC218" s="76">
        <f t="shared" si="110"/>
        <v>1083314.4033898553</v>
      </c>
      <c r="BD218" s="77"/>
      <c r="BE218" s="77"/>
      <c r="BF218" s="77"/>
      <c r="BG218" s="78">
        <f t="shared" si="111"/>
        <v>1263866.8039548311</v>
      </c>
      <c r="BH218" s="78"/>
      <c r="BI218" s="78">
        <f t="shared" si="104"/>
        <v>2101.1223629247324</v>
      </c>
      <c r="BJ218" s="79">
        <f t="shared" si="105"/>
        <v>1958993.5461299883</v>
      </c>
      <c r="BK218" s="79">
        <f>5000000-BK217</f>
        <v>1865610.33</v>
      </c>
      <c r="BL218" s="79">
        <v>2500000</v>
      </c>
      <c r="BM218" s="330" t="s">
        <v>365</v>
      </c>
      <c r="BN218" s="81" t="s">
        <v>64</v>
      </c>
    </row>
    <row r="219" spans="1:66" s="185" customFormat="1" ht="25.5">
      <c r="A219" s="171">
        <f t="shared" si="87"/>
        <v>166</v>
      </c>
      <c r="B219" s="87" t="s">
        <v>367</v>
      </c>
      <c r="C219" s="172" t="s">
        <v>368</v>
      </c>
      <c r="D219" s="87" t="s">
        <v>64</v>
      </c>
      <c r="E219" s="87" t="s">
        <v>65</v>
      </c>
      <c r="F219" s="87"/>
      <c r="G219" s="87"/>
      <c r="H219" s="174">
        <v>43525</v>
      </c>
      <c r="I219" s="174" t="s">
        <v>117</v>
      </c>
      <c r="J219" s="175">
        <v>2000000</v>
      </c>
      <c r="K219" s="121">
        <v>7.7499999999999999E-2</v>
      </c>
      <c r="L219" s="63">
        <v>7.4999999999999997E-2</v>
      </c>
      <c r="M219" s="176">
        <v>0.9</v>
      </c>
      <c r="N219" s="177">
        <v>9</v>
      </c>
      <c r="O219" s="177"/>
      <c r="P219" s="176">
        <v>12</v>
      </c>
      <c r="Q219" s="177">
        <f t="shared" si="106"/>
        <v>104625</v>
      </c>
      <c r="R219" s="177">
        <f t="shared" si="93"/>
        <v>1213312.131796638</v>
      </c>
      <c r="S219" s="177">
        <f t="shared" si="107"/>
        <v>63471.390894611628</v>
      </c>
      <c r="T219" s="177">
        <f t="shared" si="94"/>
        <v>41153.609105388372</v>
      </c>
      <c r="U219" s="178">
        <v>0.606656065898319</v>
      </c>
      <c r="V219" s="177"/>
      <c r="W219" s="176"/>
      <c r="X219" s="177">
        <f t="shared" si="91"/>
        <v>1213312.131796638</v>
      </c>
      <c r="Y219" s="177">
        <f t="shared" si="91"/>
        <v>63471.390894611628</v>
      </c>
      <c r="Z219" s="179">
        <f t="shared" si="92"/>
        <v>1213312.131796638</v>
      </c>
      <c r="AA219" s="179">
        <f t="shared" si="92"/>
        <v>63471.390894611628</v>
      </c>
      <c r="AB219" s="179"/>
      <c r="AC219" s="179"/>
      <c r="AD219" s="179">
        <f t="shared" si="101"/>
        <v>63471.390894611628</v>
      </c>
      <c r="AE219" s="180">
        <v>1091980.9186169743</v>
      </c>
      <c r="AF219" s="180">
        <f t="shared" si="108"/>
        <v>1213312.131796638</v>
      </c>
      <c r="AG219" s="180">
        <v>63467.85</v>
      </c>
      <c r="AH219" s="104"/>
      <c r="AI219" s="104"/>
      <c r="AJ219" s="104"/>
      <c r="AK219" s="104"/>
      <c r="AL219" s="104"/>
      <c r="AM219" s="104">
        <f t="shared" si="89"/>
        <v>3.5408946116294828</v>
      </c>
      <c r="AN219" s="104"/>
      <c r="AO219" s="104"/>
      <c r="AP219" s="104"/>
      <c r="AQ219" s="104">
        <f t="shared" si="88"/>
        <v>3.5408946116294828</v>
      </c>
      <c r="AR219" s="104"/>
      <c r="AS219" s="69">
        <f t="shared" si="102"/>
        <v>3.5408946116294828</v>
      </c>
      <c r="AT219" s="104">
        <f t="shared" si="103"/>
        <v>0</v>
      </c>
      <c r="AU219" s="181">
        <f t="shared" si="109"/>
        <v>1364976.1482712177</v>
      </c>
      <c r="AV219" s="188">
        <v>1364900</v>
      </c>
      <c r="AW219" s="188"/>
      <c r="AX219" s="182"/>
      <c r="AY219" s="182"/>
      <c r="AZ219" s="182"/>
      <c r="BA219" s="182"/>
      <c r="BB219" s="108">
        <f t="shared" si="90"/>
        <v>76.148271217709407</v>
      </c>
      <c r="BC219" s="108">
        <f t="shared" si="110"/>
        <v>87.026595677529528</v>
      </c>
      <c r="BD219" s="183"/>
      <c r="BE219" s="183"/>
      <c r="BF219" s="183"/>
      <c r="BG219" s="331">
        <f t="shared" si="111"/>
        <v>101.53102829045113</v>
      </c>
      <c r="BH219" s="331"/>
      <c r="BI219" s="110">
        <f t="shared" si="104"/>
        <v>3.5408946116294828</v>
      </c>
      <c r="BJ219" s="116">
        <f t="shared" si="105"/>
        <v>157.37309385019924</v>
      </c>
      <c r="BK219" s="116"/>
      <c r="BL219" s="79"/>
      <c r="BM219" s="184"/>
    </row>
    <row r="220" spans="1:66" s="81" customFormat="1" ht="25.5">
      <c r="A220" s="56">
        <f t="shared" ref="A220:A257" si="112">A219+1</f>
        <v>167</v>
      </c>
      <c r="B220" s="57" t="s">
        <v>369</v>
      </c>
      <c r="C220" s="58" t="s">
        <v>370</v>
      </c>
      <c r="D220" s="57" t="s">
        <v>64</v>
      </c>
      <c r="E220" s="57" t="s">
        <v>65</v>
      </c>
      <c r="F220" s="57"/>
      <c r="G220" s="57"/>
      <c r="H220" s="60">
        <v>43525</v>
      </c>
      <c r="I220" s="323" t="s">
        <v>149</v>
      </c>
      <c r="J220" s="62">
        <v>6000000</v>
      </c>
      <c r="K220" s="63">
        <v>7.7499999999999999E-2</v>
      </c>
      <c r="L220" s="63">
        <v>7.4999999999999997E-2</v>
      </c>
      <c r="M220" s="64">
        <v>0.9</v>
      </c>
      <c r="N220" s="65">
        <v>9</v>
      </c>
      <c r="O220" s="65">
        <v>3</v>
      </c>
      <c r="P220" s="64">
        <v>12</v>
      </c>
      <c r="Q220" s="65">
        <f t="shared" si="106"/>
        <v>313875</v>
      </c>
      <c r="R220" s="65">
        <f t="shared" si="93"/>
        <v>3639936.395389914</v>
      </c>
      <c r="S220" s="65">
        <f t="shared" si="107"/>
        <v>190414.17268383488</v>
      </c>
      <c r="T220" s="65">
        <f t="shared" si="94"/>
        <v>123460.82731616512</v>
      </c>
      <c r="U220" s="66">
        <v>0.606656065898319</v>
      </c>
      <c r="V220" s="65"/>
      <c r="W220" s="64"/>
      <c r="X220" s="65">
        <f t="shared" si="91"/>
        <v>3639936.395389914</v>
      </c>
      <c r="Y220" s="65">
        <f t="shared" si="91"/>
        <v>190414.17268383488</v>
      </c>
      <c r="Z220" s="67">
        <f t="shared" si="92"/>
        <v>3639936.395389914</v>
      </c>
      <c r="AA220" s="67">
        <f t="shared" si="92"/>
        <v>190414.17268383488</v>
      </c>
      <c r="AB220" s="67"/>
      <c r="AC220" s="67">
        <v>189356.92</v>
      </c>
      <c r="AD220" s="67">
        <f t="shared" si="101"/>
        <v>1057.2526838348713</v>
      </c>
      <c r="AE220" s="68">
        <v>-2324057.2441490772</v>
      </c>
      <c r="AF220" s="68">
        <f t="shared" si="108"/>
        <v>20210.326094812357</v>
      </c>
      <c r="AG220" s="68"/>
      <c r="AH220" s="69"/>
      <c r="AI220" s="69"/>
      <c r="AJ220" s="70"/>
      <c r="AK220" s="70"/>
      <c r="AL220" s="71"/>
      <c r="AM220" s="69">
        <f t="shared" si="89"/>
        <v>1057.2526838348713</v>
      </c>
      <c r="AN220" s="69"/>
      <c r="AO220" s="69"/>
      <c r="AP220" s="69"/>
      <c r="AQ220" s="69">
        <f t="shared" si="88"/>
        <v>1057.2526838348713</v>
      </c>
      <c r="AR220" s="69"/>
      <c r="AS220" s="69">
        <f t="shared" si="102"/>
        <v>1057.2526838348713</v>
      </c>
      <c r="AT220" s="69">
        <f t="shared" si="103"/>
        <v>1057.2527250000001</v>
      </c>
      <c r="AU220" s="72">
        <f t="shared" si="109"/>
        <v>22736.616856663899</v>
      </c>
      <c r="AV220" s="72"/>
      <c r="AW220" s="72"/>
      <c r="AX220" s="73"/>
      <c r="AY220" s="74"/>
      <c r="AZ220" s="74"/>
      <c r="BA220" s="75"/>
      <c r="BB220" s="76">
        <f t="shared" si="90"/>
        <v>22736.616856663899</v>
      </c>
      <c r="BC220" s="76">
        <f t="shared" si="110"/>
        <v>25984.704979044454</v>
      </c>
      <c r="BD220" s="77"/>
      <c r="BE220" s="77"/>
      <c r="BF220" s="77"/>
      <c r="BG220" s="78">
        <f t="shared" si="111"/>
        <v>30315.489142218532</v>
      </c>
      <c r="BH220" s="78"/>
      <c r="BI220" s="78">
        <f t="shared" si="104"/>
        <v>-4.1165128777720383E-5</v>
      </c>
      <c r="BJ220" s="79">
        <f t="shared" si="105"/>
        <v>46989.008170438727</v>
      </c>
      <c r="BK220" s="79">
        <v>46989.01</v>
      </c>
      <c r="BL220" s="79"/>
      <c r="BM220" s="80"/>
      <c r="BN220" s="81" t="s">
        <v>64</v>
      </c>
    </row>
    <row r="221" spans="1:66" s="112" customFormat="1" ht="25.5">
      <c r="A221" s="84">
        <f t="shared" si="112"/>
        <v>168</v>
      </c>
      <c r="B221" s="85" t="s">
        <v>371</v>
      </c>
      <c r="C221" s="86" t="s">
        <v>372</v>
      </c>
      <c r="D221" s="85" t="s">
        <v>120</v>
      </c>
      <c r="E221" s="87" t="s">
        <v>98</v>
      </c>
      <c r="F221" s="89"/>
      <c r="G221" s="89"/>
      <c r="H221" s="90">
        <v>43497</v>
      </c>
      <c r="I221" s="90">
        <v>43497</v>
      </c>
      <c r="J221" s="91">
        <v>7500000</v>
      </c>
      <c r="K221" s="92">
        <v>7.7499999999999999E-2</v>
      </c>
      <c r="L221" s="63">
        <v>7.4999999999999997E-2</v>
      </c>
      <c r="M221" s="93">
        <v>0.9</v>
      </c>
      <c r="N221" s="94">
        <v>10</v>
      </c>
      <c r="O221" s="94"/>
      <c r="P221" s="93">
        <v>12</v>
      </c>
      <c r="Q221" s="95">
        <f t="shared" si="106"/>
        <v>435937.5</v>
      </c>
      <c r="R221" s="94">
        <f t="shared" si="93"/>
        <v>4549920.4942373922</v>
      </c>
      <c r="S221" s="95">
        <f t="shared" si="107"/>
        <v>264464.12872754846</v>
      </c>
      <c r="T221" s="95">
        <f t="shared" si="94"/>
        <v>171473.37127245154</v>
      </c>
      <c r="U221" s="96">
        <v>0.606656065898319</v>
      </c>
      <c r="V221" s="254">
        <v>10000000</v>
      </c>
      <c r="W221" s="122">
        <f>581250-W222</f>
        <v>369678.7</v>
      </c>
      <c r="X221" s="95">
        <f t="shared" si="91"/>
        <v>-5450079.5057626078</v>
      </c>
      <c r="Y221" s="95">
        <f t="shared" si="91"/>
        <v>-105214.57127245155</v>
      </c>
      <c r="Z221" s="98">
        <f t="shared" si="92"/>
        <v>-5450079.5057626078</v>
      </c>
      <c r="AA221" s="98">
        <f t="shared" si="92"/>
        <v>-105214.57127245155</v>
      </c>
      <c r="AB221" s="98"/>
      <c r="AC221" s="98"/>
      <c r="AD221" s="98">
        <f t="shared" si="101"/>
        <v>-105214.57127245155</v>
      </c>
      <c r="AE221" s="100">
        <v>-1810143.1103726935</v>
      </c>
      <c r="AF221" s="100">
        <f t="shared" si="108"/>
        <v>-2011270.1796406507</v>
      </c>
      <c r="AG221" s="100"/>
      <c r="AH221" s="101"/>
      <c r="AI221" s="101"/>
      <c r="AJ221" s="101"/>
      <c r="AK221" s="101"/>
      <c r="AL221" s="101"/>
      <c r="AM221" s="104">
        <f t="shared" si="89"/>
        <v>-105214.57127245155</v>
      </c>
      <c r="AN221" s="104"/>
      <c r="AO221" s="104"/>
      <c r="AP221" s="104"/>
      <c r="AQ221" s="104">
        <f t="shared" si="88"/>
        <v>-105214.57127245155</v>
      </c>
      <c r="AR221" s="104"/>
      <c r="AS221" s="104">
        <f t="shared" si="102"/>
        <v>-105214.57127245155</v>
      </c>
      <c r="AT221" s="104">
        <f t="shared" si="103"/>
        <v>0</v>
      </c>
      <c r="AU221" s="105">
        <f t="shared" si="109"/>
        <v>-2262678.9520957321</v>
      </c>
      <c r="AV221" s="106"/>
      <c r="AW221" s="106"/>
      <c r="AX221" s="107"/>
      <c r="AY221" s="107"/>
      <c r="AZ221" s="107"/>
      <c r="BA221" s="107"/>
      <c r="BB221" s="108">
        <f t="shared" si="90"/>
        <v>-2262678.9520957321</v>
      </c>
      <c r="BC221" s="108">
        <f t="shared" si="110"/>
        <v>-2585918.8023951221</v>
      </c>
      <c r="BD221" s="109"/>
      <c r="BE221" s="109"/>
      <c r="BF221" s="109"/>
      <c r="BG221" s="110">
        <f t="shared" si="111"/>
        <v>-3016905.2694609761</v>
      </c>
      <c r="BH221" s="110"/>
      <c r="BI221" s="110"/>
      <c r="BJ221" s="123">
        <f t="shared" si="105"/>
        <v>-4676203.1676645139</v>
      </c>
      <c r="BK221" s="116"/>
      <c r="BL221" s="79"/>
      <c r="BM221" s="111"/>
    </row>
    <row r="222" spans="1:66" s="112" customFormat="1" ht="25.5">
      <c r="A222" s="84">
        <f t="shared" si="112"/>
        <v>169</v>
      </c>
      <c r="B222" s="85" t="s">
        <v>371</v>
      </c>
      <c r="C222" s="86" t="s">
        <v>372</v>
      </c>
      <c r="D222" s="85" t="s">
        <v>64</v>
      </c>
      <c r="E222" s="87" t="s">
        <v>98</v>
      </c>
      <c r="F222" s="89"/>
      <c r="G222" s="89"/>
      <c r="H222" s="90">
        <v>43556</v>
      </c>
      <c r="I222" s="90">
        <v>43556</v>
      </c>
      <c r="J222" s="91">
        <v>7500000</v>
      </c>
      <c r="K222" s="92">
        <v>7.7499999999999999E-2</v>
      </c>
      <c r="L222" s="63">
        <v>7.4999999999999997E-2</v>
      </c>
      <c r="M222" s="93">
        <v>0.9</v>
      </c>
      <c r="N222" s="94">
        <v>8</v>
      </c>
      <c r="O222" s="94"/>
      <c r="P222" s="93">
        <v>12</v>
      </c>
      <c r="Q222" s="95">
        <f t="shared" si="106"/>
        <v>348750</v>
      </c>
      <c r="R222" s="94">
        <f t="shared" si="93"/>
        <v>4549920.4942373922</v>
      </c>
      <c r="S222" s="95">
        <f t="shared" si="107"/>
        <v>211571.30298203873</v>
      </c>
      <c r="T222" s="95">
        <f t="shared" si="94"/>
        <v>137178.69701796127</v>
      </c>
      <c r="U222" s="96">
        <v>0.606656065898319</v>
      </c>
      <c r="V222" s="94"/>
      <c r="W222" s="97">
        <v>211571.3</v>
      </c>
      <c r="X222" s="95">
        <f t="shared" si="91"/>
        <v>4549920.4942373922</v>
      </c>
      <c r="Y222" s="95">
        <f t="shared" si="91"/>
        <v>2.9820387426298112E-3</v>
      </c>
      <c r="Z222" s="98">
        <f t="shared" si="92"/>
        <v>4549920.4942373922</v>
      </c>
      <c r="AA222" s="98">
        <f t="shared" si="92"/>
        <v>2.9820387426298112E-3</v>
      </c>
      <c r="AB222" s="98"/>
      <c r="AC222" s="98"/>
      <c r="AD222" s="98">
        <f t="shared" si="101"/>
        <v>2.9820387426298112E-3</v>
      </c>
      <c r="AE222" s="100">
        <v>0</v>
      </c>
      <c r="AF222" s="100">
        <f t="shared" si="108"/>
        <v>5.700432482924371E-2</v>
      </c>
      <c r="AG222" s="100"/>
      <c r="AH222" s="101"/>
      <c r="AI222" s="101"/>
      <c r="AJ222" s="101"/>
      <c r="AK222" s="101"/>
      <c r="AL222" s="101"/>
      <c r="AM222" s="104">
        <f t="shared" si="89"/>
        <v>2.9820387426298112E-3</v>
      </c>
      <c r="AN222" s="104"/>
      <c r="AO222" s="104"/>
      <c r="AP222" s="104"/>
      <c r="AQ222" s="104">
        <f t="shared" si="88"/>
        <v>2.9820387426298112E-3</v>
      </c>
      <c r="AR222" s="104"/>
      <c r="AS222" s="104">
        <f t="shared" si="102"/>
        <v>2.9820387426298112E-3</v>
      </c>
      <c r="AT222" s="104">
        <f t="shared" si="103"/>
        <v>0</v>
      </c>
      <c r="AU222" s="181">
        <f t="shared" si="109"/>
        <v>6.4129865432899169E-2</v>
      </c>
      <c r="AV222" s="106"/>
      <c r="AW222" s="106"/>
      <c r="AX222" s="107"/>
      <c r="AY222" s="107"/>
      <c r="AZ222" s="107"/>
      <c r="BA222" s="107"/>
      <c r="BB222" s="108">
        <f t="shared" si="90"/>
        <v>6.4129865432899169E-2</v>
      </c>
      <c r="BC222" s="108">
        <f t="shared" si="110"/>
        <v>7.3291274780456189E-2</v>
      </c>
      <c r="BD222" s="109"/>
      <c r="BE222" s="109"/>
      <c r="BF222" s="109"/>
      <c r="BG222" s="110">
        <f t="shared" si="111"/>
        <v>8.5506487243865559E-2</v>
      </c>
      <c r="BH222" s="110"/>
      <c r="BI222" s="110">
        <f t="shared" si="104"/>
        <v>2.9820387426298112E-3</v>
      </c>
      <c r="BJ222" s="116">
        <f t="shared" si="105"/>
        <v>0.13253505522799161</v>
      </c>
      <c r="BK222" s="116"/>
      <c r="BL222" s="79"/>
      <c r="BM222" s="111"/>
    </row>
    <row r="223" spans="1:66" s="170" customFormat="1" hidden="1">
      <c r="A223" s="150"/>
      <c r="B223" s="151" t="s">
        <v>371</v>
      </c>
      <c r="C223" s="152" t="s">
        <v>372</v>
      </c>
      <c r="D223" s="153"/>
      <c r="E223" s="127" t="s">
        <v>98</v>
      </c>
      <c r="F223" s="153"/>
      <c r="G223" s="153"/>
      <c r="H223" s="155"/>
      <c r="I223" s="155"/>
      <c r="J223" s="156"/>
      <c r="K223" s="157"/>
      <c r="L223" s="63">
        <v>7.4999999999999997E-2</v>
      </c>
      <c r="M223" s="64">
        <v>0.9</v>
      </c>
      <c r="N223" s="65">
        <v>9</v>
      </c>
      <c r="O223" s="65">
        <v>4</v>
      </c>
      <c r="P223" s="64">
        <v>12</v>
      </c>
      <c r="Q223" s="158"/>
      <c r="R223" s="158"/>
      <c r="S223" s="158"/>
      <c r="T223" s="158"/>
      <c r="U223" s="159"/>
      <c r="V223" s="158"/>
      <c r="W223" s="160"/>
      <c r="X223" s="158"/>
      <c r="Y223" s="158"/>
      <c r="Z223" s="161"/>
      <c r="AA223" s="161"/>
      <c r="AB223" s="161"/>
      <c r="AC223" s="161"/>
      <c r="AD223" s="161"/>
      <c r="AE223" s="163"/>
      <c r="AF223" s="163"/>
      <c r="AG223" s="163"/>
      <c r="AH223" s="102"/>
      <c r="AI223" s="102"/>
      <c r="AJ223" s="102"/>
      <c r="AK223" s="102"/>
      <c r="AL223" s="102"/>
      <c r="AM223" s="70"/>
      <c r="AN223" s="70"/>
      <c r="AO223" s="332"/>
      <c r="AP223" s="332"/>
      <c r="AQ223" s="70"/>
      <c r="AR223" s="70"/>
      <c r="AS223" s="69">
        <f t="shared" si="102"/>
        <v>0</v>
      </c>
      <c r="AT223" s="69">
        <f t="shared" si="103"/>
        <v>0</v>
      </c>
      <c r="AU223" s="136"/>
      <c r="AV223" s="165"/>
      <c r="AW223" s="165"/>
      <c r="AX223" s="166"/>
      <c r="AY223" s="166"/>
      <c r="AZ223" s="166"/>
      <c r="BA223" s="166"/>
      <c r="BB223" s="137"/>
      <c r="BC223" s="137"/>
      <c r="BD223" s="167"/>
      <c r="BE223" s="167"/>
      <c r="BF223" s="167"/>
      <c r="BG223" s="168"/>
      <c r="BH223" s="168"/>
      <c r="BI223" s="78">
        <f t="shared" si="104"/>
        <v>0</v>
      </c>
      <c r="BJ223" s="79">
        <f t="shared" si="105"/>
        <v>0</v>
      </c>
      <c r="BK223" s="79"/>
      <c r="BL223" s="169">
        <v>10000000</v>
      </c>
      <c r="BM223" s="186" t="s">
        <v>72</v>
      </c>
      <c r="BN223" s="170" t="s">
        <v>222</v>
      </c>
    </row>
    <row r="224" spans="1:66" s="81" customFormat="1" ht="25.5">
      <c r="A224" s="56">
        <f>A222+1</f>
        <v>170</v>
      </c>
      <c r="B224" s="57" t="s">
        <v>373</v>
      </c>
      <c r="C224" s="58" t="s">
        <v>374</v>
      </c>
      <c r="D224" s="57" t="s">
        <v>64</v>
      </c>
      <c r="E224" s="57" t="s">
        <v>65</v>
      </c>
      <c r="F224" s="57"/>
      <c r="G224" s="57"/>
      <c r="H224" s="60">
        <v>43497</v>
      </c>
      <c r="I224" s="60" t="s">
        <v>375</v>
      </c>
      <c r="J224" s="62">
        <v>5000000</v>
      </c>
      <c r="K224" s="63">
        <v>7.7499999999999999E-2</v>
      </c>
      <c r="L224" s="63">
        <v>7.4999999999999997E-2</v>
      </c>
      <c r="M224" s="64">
        <v>0.9</v>
      </c>
      <c r="N224" s="65">
        <v>10</v>
      </c>
      <c r="O224" s="65">
        <v>4</v>
      </c>
      <c r="P224" s="64">
        <v>12</v>
      </c>
      <c r="Q224" s="65">
        <f>J224*K224*M224*N224/P224</f>
        <v>290625</v>
      </c>
      <c r="R224" s="65">
        <f t="shared" si="93"/>
        <v>3033280.3294915948</v>
      </c>
      <c r="S224" s="65">
        <f>R224*K224*M224*N224/P224</f>
        <v>176309.41915169894</v>
      </c>
      <c r="T224" s="65">
        <f t="shared" si="94"/>
        <v>114315.58084830106</v>
      </c>
      <c r="U224" s="66">
        <v>0.606656065898319</v>
      </c>
      <c r="V224" s="65"/>
      <c r="W224" s="64"/>
      <c r="X224" s="65">
        <f t="shared" si="91"/>
        <v>3033280.3294915948</v>
      </c>
      <c r="Y224" s="65">
        <f t="shared" si="91"/>
        <v>176309.41915169894</v>
      </c>
      <c r="Z224" s="67">
        <f t="shared" si="92"/>
        <v>3033280.3294915948</v>
      </c>
      <c r="AA224" s="67">
        <f t="shared" si="92"/>
        <v>176309.41915169894</v>
      </c>
      <c r="AB224" s="67"/>
      <c r="AC224" s="67"/>
      <c r="AD224" s="67">
        <f t="shared" si="101"/>
        <v>176309.41915169894</v>
      </c>
      <c r="AE224" s="68">
        <v>3033280.3294915948</v>
      </c>
      <c r="AF224" s="68">
        <f>AD224/K224/M224/9*P224</f>
        <v>3370311.4772128826</v>
      </c>
      <c r="AG224" s="68"/>
      <c r="AH224" s="69"/>
      <c r="AI224" s="69"/>
      <c r="AJ224" s="70"/>
      <c r="AK224" s="70"/>
      <c r="AL224" s="71"/>
      <c r="AM224" s="69">
        <f t="shared" si="89"/>
        <v>176309.41915169894</v>
      </c>
      <c r="AN224" s="69"/>
      <c r="AO224" s="333">
        <v>111600</v>
      </c>
      <c r="AP224" s="301"/>
      <c r="AQ224" s="69">
        <f t="shared" si="88"/>
        <v>64709.419151698938</v>
      </c>
      <c r="AR224" s="69"/>
      <c r="AS224" s="69">
        <f t="shared" si="102"/>
        <v>64709.419151698938</v>
      </c>
      <c r="AT224" s="69">
        <f t="shared" si="103"/>
        <v>40500</v>
      </c>
      <c r="AU224" s="72">
        <f>AD224/K224/M224/8*P224</f>
        <v>3791600.411864493</v>
      </c>
      <c r="AV224" s="72"/>
      <c r="AW224" s="72"/>
      <c r="AX224" s="73"/>
      <c r="AY224" s="74"/>
      <c r="AZ224" s="74"/>
      <c r="BA224" s="75"/>
      <c r="BB224" s="76">
        <f t="shared" si="90"/>
        <v>3791600.411864493</v>
      </c>
      <c r="BC224" s="76">
        <f>AM224/K224/M224/7*P224</f>
        <v>4333257.6135594212</v>
      </c>
      <c r="BD224" s="77"/>
      <c r="BE224" s="268">
        <f>AO224/7.75%/0.9/6*12</f>
        <v>3200000</v>
      </c>
      <c r="BF224" s="77"/>
      <c r="BG224" s="78">
        <f>AQ224/K224/M224/6*P224</f>
        <v>1855467.2158193244</v>
      </c>
      <c r="BH224" s="78"/>
      <c r="BI224" s="78">
        <f t="shared" si="104"/>
        <v>24209.419151698938</v>
      </c>
      <c r="BJ224" s="79">
        <f t="shared" si="105"/>
        <v>2875974.1845199526</v>
      </c>
      <c r="BK224" s="79">
        <f>5000000-3200000</f>
        <v>1800000</v>
      </c>
      <c r="BL224" s="79">
        <v>4000000</v>
      </c>
      <c r="BM224" s="82" t="s">
        <v>376</v>
      </c>
      <c r="BN224" s="83" t="s">
        <v>73</v>
      </c>
    </row>
    <row r="225" spans="1:66" s="112" customFormat="1" ht="25.5">
      <c r="A225" s="84">
        <f t="shared" si="112"/>
        <v>171</v>
      </c>
      <c r="B225" s="85" t="s">
        <v>377</v>
      </c>
      <c r="C225" s="86" t="s">
        <v>378</v>
      </c>
      <c r="D225" s="85" t="s">
        <v>64</v>
      </c>
      <c r="E225" s="87" t="s">
        <v>98</v>
      </c>
      <c r="F225" s="89"/>
      <c r="G225" s="89"/>
      <c r="H225" s="90">
        <v>43497</v>
      </c>
      <c r="I225" s="90">
        <v>43497</v>
      </c>
      <c r="J225" s="91">
        <v>25000000</v>
      </c>
      <c r="K225" s="92">
        <v>7.7499999999999999E-2</v>
      </c>
      <c r="L225" s="63">
        <v>7.4999999999999997E-2</v>
      </c>
      <c r="M225" s="93">
        <v>0.9</v>
      </c>
      <c r="N225" s="94">
        <v>10</v>
      </c>
      <c r="O225" s="94"/>
      <c r="P225" s="93">
        <v>12</v>
      </c>
      <c r="Q225" s="95">
        <f>J225*K225*M225*N225/P225</f>
        <v>1453125</v>
      </c>
      <c r="R225" s="94">
        <f t="shared" si="93"/>
        <v>15166401.647457974</v>
      </c>
      <c r="S225" s="95">
        <f>R225*K225*M225*N225/P225</f>
        <v>881547.09575849457</v>
      </c>
      <c r="T225" s="95">
        <f t="shared" si="94"/>
        <v>571577.90424150543</v>
      </c>
      <c r="U225" s="96">
        <v>0.606656065898319</v>
      </c>
      <c r="V225" s="94"/>
      <c r="W225" s="97"/>
      <c r="X225" s="95">
        <f t="shared" si="91"/>
        <v>15166401.647457974</v>
      </c>
      <c r="Y225" s="95">
        <f t="shared" si="91"/>
        <v>881547.09575849457</v>
      </c>
      <c r="Z225" s="98">
        <f t="shared" si="92"/>
        <v>15166401.647457974</v>
      </c>
      <c r="AA225" s="98">
        <f t="shared" si="92"/>
        <v>881547.09575849457</v>
      </c>
      <c r="AB225" s="98"/>
      <c r="AC225" s="98">
        <f>1346756.25-AC227-AC226</f>
        <v>881547.1</v>
      </c>
      <c r="AD225" s="98">
        <f t="shared" si="101"/>
        <v>-4.2415054049342871E-3</v>
      </c>
      <c r="AE225" s="100">
        <v>-6825738.2826842144</v>
      </c>
      <c r="AF225" s="100">
        <f>AD225/K225/M225/9*P225</f>
        <v>-8.1080151109854948E-2</v>
      </c>
      <c r="AG225" s="100"/>
      <c r="AH225" s="101"/>
      <c r="AI225" s="101"/>
      <c r="AJ225" s="101"/>
      <c r="AK225" s="101"/>
      <c r="AL225" s="101"/>
      <c r="AM225" s="104">
        <f t="shared" si="89"/>
        <v>-4.2415054049342871E-3</v>
      </c>
      <c r="AN225" s="104"/>
      <c r="AO225" s="104"/>
      <c r="AP225" s="104"/>
      <c r="AQ225" s="104">
        <f t="shared" si="88"/>
        <v>-4.2415054049342871E-3</v>
      </c>
      <c r="AR225" s="104"/>
      <c r="AS225" s="104">
        <f t="shared" si="102"/>
        <v>-4.2415054049342871E-3</v>
      </c>
      <c r="AT225" s="104">
        <f t="shared" si="103"/>
        <v>0</v>
      </c>
      <c r="AU225" s="105">
        <f>AD225/K225/M225/8*P225</f>
        <v>-9.1215169998586809E-2</v>
      </c>
      <c r="AV225" s="106"/>
      <c r="AW225" s="106"/>
      <c r="AX225" s="107"/>
      <c r="AY225" s="107"/>
      <c r="AZ225" s="107"/>
      <c r="BA225" s="107"/>
      <c r="BB225" s="108">
        <f t="shared" si="90"/>
        <v>-9.1215169998586809E-2</v>
      </c>
      <c r="BC225" s="108">
        <f>AM225/K225/M225/7*P225</f>
        <v>-0.1042459085698135</v>
      </c>
      <c r="BD225" s="109"/>
      <c r="BE225" s="109"/>
      <c r="BF225" s="109"/>
      <c r="BG225" s="110">
        <f>AQ225/K225/M225/6*P225</f>
        <v>-0.12162022666478242</v>
      </c>
      <c r="BH225" s="110"/>
      <c r="BI225" s="110">
        <f t="shared" si="104"/>
        <v>-4.2415054049342871E-3</v>
      </c>
      <c r="BJ225" s="116">
        <f t="shared" si="105"/>
        <v>-0.18851135133041277</v>
      </c>
      <c r="BK225" s="116"/>
      <c r="BL225" s="79"/>
      <c r="BM225" s="111"/>
    </row>
    <row r="226" spans="1:66" s="112" customFormat="1">
      <c r="A226" s="84">
        <f t="shared" si="112"/>
        <v>172</v>
      </c>
      <c r="B226" s="85" t="s">
        <v>377</v>
      </c>
      <c r="C226" s="86" t="s">
        <v>378</v>
      </c>
      <c r="D226" s="85" t="s">
        <v>111</v>
      </c>
      <c r="E226" s="87" t="s">
        <v>98</v>
      </c>
      <c r="F226" s="89"/>
      <c r="G226" s="89"/>
      <c r="H226" s="90">
        <v>43617</v>
      </c>
      <c r="I226" s="90">
        <v>43617</v>
      </c>
      <c r="J226" s="91">
        <v>12000000</v>
      </c>
      <c r="K226" s="92">
        <v>7.7499999999999999E-2</v>
      </c>
      <c r="L226" s="63">
        <v>7.4999999999999997E-2</v>
      </c>
      <c r="M226" s="93">
        <v>0.9</v>
      </c>
      <c r="N226" s="94">
        <v>6</v>
      </c>
      <c r="O226" s="94"/>
      <c r="P226" s="93">
        <v>12</v>
      </c>
      <c r="Q226" s="95">
        <f>J226*K226*M226*N226/P226</f>
        <v>418500</v>
      </c>
      <c r="R226" s="94">
        <f t="shared" si="93"/>
        <v>7279872.7907798281</v>
      </c>
      <c r="S226" s="95">
        <f>R226*K226*M226*N226/P226</f>
        <v>253885.56357844651</v>
      </c>
      <c r="T226" s="95">
        <f t="shared" si="94"/>
        <v>164614.43642155349</v>
      </c>
      <c r="U226" s="96">
        <v>0.606656065898319</v>
      </c>
      <c r="V226" s="94"/>
      <c r="W226" s="97"/>
      <c r="X226" s="95">
        <f t="shared" si="91"/>
        <v>7279872.7907798281</v>
      </c>
      <c r="Y226" s="95">
        <f t="shared" si="91"/>
        <v>253885.56357844651</v>
      </c>
      <c r="Z226" s="98">
        <f t="shared" si="92"/>
        <v>7279872.7907798281</v>
      </c>
      <c r="AA226" s="98">
        <f t="shared" si="92"/>
        <v>253885.56357844651</v>
      </c>
      <c r="AB226" s="98"/>
      <c r="AC226" s="98">
        <v>253637.85</v>
      </c>
      <c r="AD226" s="98">
        <f t="shared" si="101"/>
        <v>247.71357844650629</v>
      </c>
      <c r="AE226" s="100">
        <v>0</v>
      </c>
      <c r="AF226" s="100">
        <f>AD226/K226/M226/9*P226</f>
        <v>4735.265537806572</v>
      </c>
      <c r="AG226" s="100"/>
      <c r="AH226" s="101"/>
      <c r="AI226" s="101"/>
      <c r="AJ226" s="101"/>
      <c r="AK226" s="101"/>
      <c r="AL226" s="101"/>
      <c r="AM226" s="104">
        <f t="shared" si="89"/>
        <v>247.71357844650629</v>
      </c>
      <c r="AN226" s="104"/>
      <c r="AO226" s="104"/>
      <c r="AP226" s="104"/>
      <c r="AQ226" s="104">
        <f t="shared" si="88"/>
        <v>247.71357844650629</v>
      </c>
      <c r="AR226" s="104"/>
      <c r="AS226" s="104">
        <f t="shared" si="102"/>
        <v>247.71357844650629</v>
      </c>
      <c r="AT226" s="104">
        <f t="shared" si="103"/>
        <v>0</v>
      </c>
      <c r="AU226" s="181">
        <f>AD226/K226/M226/8*P226</f>
        <v>5327.173730032393</v>
      </c>
      <c r="AV226" s="106"/>
      <c r="AW226" s="106"/>
      <c r="AX226" s="107"/>
      <c r="AY226" s="107"/>
      <c r="AZ226" s="107"/>
      <c r="BA226" s="107"/>
      <c r="BB226" s="108">
        <f t="shared" si="90"/>
        <v>5327.173730032393</v>
      </c>
      <c r="BC226" s="108">
        <f>AM226/K226/M226/7*P226</f>
        <v>6088.1985486084495</v>
      </c>
      <c r="BD226" s="109"/>
      <c r="BE226" s="109"/>
      <c r="BF226" s="109"/>
      <c r="BG226" s="110">
        <f>AQ226/K226/M226/6*P226</f>
        <v>7102.8983067098579</v>
      </c>
      <c r="BH226" s="110"/>
      <c r="BI226" s="110">
        <f t="shared" si="104"/>
        <v>247.71357844650629</v>
      </c>
      <c r="BJ226" s="116">
        <f t="shared" si="105"/>
        <v>11009.492375400279</v>
      </c>
      <c r="BK226" s="116"/>
      <c r="BL226" s="79"/>
      <c r="BM226" s="111"/>
    </row>
    <row r="227" spans="1:66" s="112" customFormat="1" ht="25.5">
      <c r="A227" s="84">
        <f t="shared" si="112"/>
        <v>173</v>
      </c>
      <c r="B227" s="85" t="s">
        <v>377</v>
      </c>
      <c r="C227" s="86" t="s">
        <v>378</v>
      </c>
      <c r="D227" s="85" t="s">
        <v>64</v>
      </c>
      <c r="E227" s="87" t="s">
        <v>98</v>
      </c>
      <c r="F227" s="89"/>
      <c r="G227" s="89"/>
      <c r="H227" s="90">
        <v>43617</v>
      </c>
      <c r="I227" s="90">
        <v>43617</v>
      </c>
      <c r="J227" s="91">
        <v>10000000</v>
      </c>
      <c r="K227" s="92">
        <v>7.7499999999999999E-2</v>
      </c>
      <c r="L227" s="63">
        <v>7.4999999999999997E-2</v>
      </c>
      <c r="M227" s="93">
        <v>0.9</v>
      </c>
      <c r="N227" s="94">
        <v>6</v>
      </c>
      <c r="O227" s="94"/>
      <c r="P227" s="93">
        <v>12</v>
      </c>
      <c r="Q227" s="95">
        <f>J227*K227*M227*N227/P227</f>
        <v>348750</v>
      </c>
      <c r="R227" s="94">
        <f t="shared" si="93"/>
        <v>6066560.6589831896</v>
      </c>
      <c r="S227" s="95">
        <f>R227*K227*M227*N227/P227</f>
        <v>211571.30298203873</v>
      </c>
      <c r="T227" s="95">
        <f t="shared" si="94"/>
        <v>137178.69701796127</v>
      </c>
      <c r="U227" s="96">
        <v>0.606656065898319</v>
      </c>
      <c r="V227" s="94"/>
      <c r="W227" s="97"/>
      <c r="X227" s="95">
        <f t="shared" si="91"/>
        <v>6066560.6589831896</v>
      </c>
      <c r="Y227" s="95">
        <f t="shared" si="91"/>
        <v>211571.30298203873</v>
      </c>
      <c r="Z227" s="98">
        <f t="shared" si="92"/>
        <v>6066560.6589831896</v>
      </c>
      <c r="AA227" s="98">
        <f t="shared" si="92"/>
        <v>211571.30298203873</v>
      </c>
      <c r="AB227" s="98"/>
      <c r="AC227" s="98">
        <v>211571.3</v>
      </c>
      <c r="AD227" s="98">
        <f t="shared" si="101"/>
        <v>2.9820387426298112E-3</v>
      </c>
      <c r="AE227" s="100">
        <v>0</v>
      </c>
      <c r="AF227" s="100">
        <f>AD227/K227/M227/9*P227</f>
        <v>5.700432482924371E-2</v>
      </c>
      <c r="AG227" s="100"/>
      <c r="AH227" s="101"/>
      <c r="AI227" s="101"/>
      <c r="AJ227" s="101"/>
      <c r="AK227" s="101"/>
      <c r="AL227" s="101"/>
      <c r="AM227" s="104">
        <f t="shared" si="89"/>
        <v>2.9820387426298112E-3</v>
      </c>
      <c r="AN227" s="104"/>
      <c r="AO227" s="104"/>
      <c r="AP227" s="104"/>
      <c r="AQ227" s="104">
        <f t="shared" si="88"/>
        <v>2.9820387426298112E-3</v>
      </c>
      <c r="AR227" s="104"/>
      <c r="AS227" s="104">
        <f t="shared" si="102"/>
        <v>2.9820387426298112E-3</v>
      </c>
      <c r="AT227" s="104">
        <f t="shared" si="103"/>
        <v>0</v>
      </c>
      <c r="AU227" s="181">
        <f>AD227/K227/M227/8*P227</f>
        <v>6.4129865432899169E-2</v>
      </c>
      <c r="AV227" s="106"/>
      <c r="AW227" s="106"/>
      <c r="AX227" s="107"/>
      <c r="AY227" s="107"/>
      <c r="AZ227" s="107"/>
      <c r="BA227" s="107"/>
      <c r="BB227" s="108">
        <f t="shared" si="90"/>
        <v>6.4129865432899169E-2</v>
      </c>
      <c r="BC227" s="108">
        <f>AM227/K227/M227/7*P227</f>
        <v>7.3291274780456189E-2</v>
      </c>
      <c r="BD227" s="109"/>
      <c r="BE227" s="109"/>
      <c r="BF227" s="109"/>
      <c r="BG227" s="110">
        <f>AQ227/K227/M227/6*P227</f>
        <v>8.5506487243865559E-2</v>
      </c>
      <c r="BH227" s="110"/>
      <c r="BI227" s="110">
        <f t="shared" si="104"/>
        <v>2.9820387426298112E-3</v>
      </c>
      <c r="BJ227" s="116">
        <f t="shared" si="105"/>
        <v>0.13253505522799161</v>
      </c>
      <c r="BK227" s="116"/>
      <c r="BL227" s="79"/>
      <c r="BM227" s="111"/>
    </row>
    <row r="228" spans="1:66" s="170" customFormat="1" hidden="1">
      <c r="A228" s="150"/>
      <c r="B228" s="151" t="s">
        <v>377</v>
      </c>
      <c r="C228" s="152" t="s">
        <v>378</v>
      </c>
      <c r="D228" s="153"/>
      <c r="E228" s="127"/>
      <c r="F228" s="153"/>
      <c r="G228" s="153"/>
      <c r="H228" s="155"/>
      <c r="I228" s="155"/>
      <c r="J228" s="156"/>
      <c r="K228" s="157"/>
      <c r="L228" s="63">
        <v>7.4999999999999997E-2</v>
      </c>
      <c r="M228" s="64">
        <v>0.9</v>
      </c>
      <c r="N228" s="65">
        <v>10</v>
      </c>
      <c r="O228" s="65">
        <v>4</v>
      </c>
      <c r="P228" s="64">
        <v>12</v>
      </c>
      <c r="Q228" s="158"/>
      <c r="R228" s="158"/>
      <c r="S228" s="158"/>
      <c r="T228" s="158"/>
      <c r="U228" s="159"/>
      <c r="V228" s="158"/>
      <c r="W228" s="160"/>
      <c r="X228" s="158"/>
      <c r="Y228" s="158"/>
      <c r="Z228" s="161"/>
      <c r="AA228" s="161"/>
      <c r="AB228" s="161"/>
      <c r="AC228" s="161"/>
      <c r="AD228" s="161"/>
      <c r="AE228" s="163"/>
      <c r="AF228" s="163"/>
      <c r="AG228" s="163"/>
      <c r="AH228" s="102"/>
      <c r="AI228" s="102"/>
      <c r="AJ228" s="102"/>
      <c r="AK228" s="102"/>
      <c r="AL228" s="102"/>
      <c r="AM228" s="70"/>
      <c r="AN228" s="70"/>
      <c r="AO228" s="70"/>
      <c r="AP228" s="70"/>
      <c r="AQ228" s="70"/>
      <c r="AR228" s="70"/>
      <c r="AS228" s="69">
        <f t="shared" si="102"/>
        <v>0</v>
      </c>
      <c r="AT228" s="69">
        <f t="shared" si="103"/>
        <v>0</v>
      </c>
      <c r="AU228" s="136"/>
      <c r="AV228" s="165"/>
      <c r="AW228" s="165"/>
      <c r="AX228" s="166"/>
      <c r="AY228" s="166"/>
      <c r="AZ228" s="166"/>
      <c r="BA228" s="166"/>
      <c r="BB228" s="137"/>
      <c r="BC228" s="137"/>
      <c r="BD228" s="167"/>
      <c r="BE228" s="167"/>
      <c r="BF228" s="167"/>
      <c r="BG228" s="168"/>
      <c r="BH228" s="168"/>
      <c r="BI228" s="78">
        <f t="shared" si="104"/>
        <v>0</v>
      </c>
      <c r="BJ228" s="79">
        <f t="shared" si="105"/>
        <v>0</v>
      </c>
      <c r="BK228" s="79"/>
      <c r="BL228" s="169">
        <v>26000000</v>
      </c>
      <c r="BM228" s="315" t="s">
        <v>99</v>
      </c>
      <c r="BN228" s="211" t="s">
        <v>186</v>
      </c>
    </row>
    <row r="229" spans="1:66" s="170" customFormat="1" hidden="1">
      <c r="A229" s="150"/>
      <c r="B229" s="151" t="s">
        <v>377</v>
      </c>
      <c r="C229" s="152" t="s">
        <v>378</v>
      </c>
      <c r="D229" s="153"/>
      <c r="E229" s="127"/>
      <c r="F229" s="153"/>
      <c r="G229" s="153"/>
      <c r="H229" s="155"/>
      <c r="I229" s="155"/>
      <c r="J229" s="156"/>
      <c r="K229" s="157"/>
      <c r="L229" s="63">
        <v>7.4999999999999997E-2</v>
      </c>
      <c r="M229" s="64">
        <v>0.9</v>
      </c>
      <c r="N229" s="65">
        <v>10</v>
      </c>
      <c r="O229" s="65">
        <v>4</v>
      </c>
      <c r="P229" s="64">
        <v>12</v>
      </c>
      <c r="Q229" s="158"/>
      <c r="R229" s="158"/>
      <c r="S229" s="158"/>
      <c r="T229" s="158"/>
      <c r="U229" s="159"/>
      <c r="V229" s="158"/>
      <c r="W229" s="160"/>
      <c r="X229" s="158"/>
      <c r="Y229" s="158"/>
      <c r="Z229" s="161"/>
      <c r="AA229" s="161"/>
      <c r="AB229" s="161"/>
      <c r="AC229" s="161"/>
      <c r="AD229" s="161"/>
      <c r="AE229" s="163"/>
      <c r="AF229" s="163"/>
      <c r="AG229" s="163"/>
      <c r="AH229" s="102"/>
      <c r="AI229" s="102"/>
      <c r="AJ229" s="102"/>
      <c r="AK229" s="102"/>
      <c r="AL229" s="102"/>
      <c r="AM229" s="70"/>
      <c r="AN229" s="70"/>
      <c r="AO229" s="70"/>
      <c r="AP229" s="70"/>
      <c r="AQ229" s="70"/>
      <c r="AR229" s="70"/>
      <c r="AS229" s="69">
        <f t="shared" si="102"/>
        <v>0</v>
      </c>
      <c r="AT229" s="69">
        <f t="shared" si="103"/>
        <v>0</v>
      </c>
      <c r="AU229" s="136"/>
      <c r="AV229" s="165"/>
      <c r="AW229" s="165"/>
      <c r="AX229" s="166"/>
      <c r="AY229" s="166"/>
      <c r="AZ229" s="166"/>
      <c r="BA229" s="166"/>
      <c r="BB229" s="137"/>
      <c r="BC229" s="137"/>
      <c r="BD229" s="167"/>
      <c r="BE229" s="167"/>
      <c r="BF229" s="167"/>
      <c r="BG229" s="168"/>
      <c r="BH229" s="168"/>
      <c r="BI229" s="78">
        <f t="shared" si="104"/>
        <v>0</v>
      </c>
      <c r="BJ229" s="79">
        <f t="shared" si="105"/>
        <v>0</v>
      </c>
      <c r="BK229" s="79"/>
      <c r="BL229" s="169">
        <v>4000000</v>
      </c>
      <c r="BM229" s="315" t="s">
        <v>99</v>
      </c>
      <c r="BN229" s="211" t="s">
        <v>76</v>
      </c>
    </row>
    <row r="230" spans="1:66" s="112" customFormat="1" ht="25.5">
      <c r="A230" s="84">
        <f>A227+1</f>
        <v>174</v>
      </c>
      <c r="B230" s="85" t="s">
        <v>379</v>
      </c>
      <c r="C230" s="86" t="s">
        <v>380</v>
      </c>
      <c r="D230" s="85" t="s">
        <v>64</v>
      </c>
      <c r="E230" s="87" t="s">
        <v>98</v>
      </c>
      <c r="F230" s="89"/>
      <c r="G230" s="89"/>
      <c r="H230" s="90">
        <v>43525</v>
      </c>
      <c r="I230" s="90">
        <v>43525</v>
      </c>
      <c r="J230" s="91">
        <v>10000000</v>
      </c>
      <c r="K230" s="92">
        <v>7.7499999999999999E-2</v>
      </c>
      <c r="L230" s="63">
        <v>7.4999999999999997E-2</v>
      </c>
      <c r="M230" s="93">
        <v>0.9</v>
      </c>
      <c r="N230" s="94">
        <v>9</v>
      </c>
      <c r="O230" s="94"/>
      <c r="P230" s="93">
        <v>12</v>
      </c>
      <c r="Q230" s="95">
        <f>J230*K230*M230*N230/P230</f>
        <v>523125</v>
      </c>
      <c r="R230" s="94">
        <f t="shared" si="93"/>
        <v>6066560.6589831896</v>
      </c>
      <c r="S230" s="95">
        <f>R230*K230*M230*N230/P230</f>
        <v>317356.95447305811</v>
      </c>
      <c r="T230" s="95">
        <f t="shared" si="94"/>
        <v>205768.04552694189</v>
      </c>
      <c r="U230" s="96">
        <v>0.606656065898319</v>
      </c>
      <c r="V230" s="254">
        <v>9900000</v>
      </c>
      <c r="W230" s="122">
        <v>575437.5</v>
      </c>
      <c r="X230" s="95">
        <f t="shared" si="91"/>
        <v>-3833439.3410168104</v>
      </c>
      <c r="Y230" s="95">
        <f t="shared" si="91"/>
        <v>-258080.54552694189</v>
      </c>
      <c r="Z230" s="98">
        <f t="shared" si="92"/>
        <v>-3833439.3410168104</v>
      </c>
      <c r="AA230" s="98">
        <f t="shared" si="92"/>
        <v>-258080.54552694189</v>
      </c>
      <c r="AB230" s="98"/>
      <c r="AC230" s="98"/>
      <c r="AD230" s="98">
        <f t="shared" si="101"/>
        <v>-258080.54552694189</v>
      </c>
      <c r="AE230" s="100">
        <v>-6810143.1103726942</v>
      </c>
      <c r="AF230" s="100">
        <f>AD230/K230/M230/9*P230</f>
        <v>-4933439.3410168104</v>
      </c>
      <c r="AG230" s="100"/>
      <c r="AH230" s="101"/>
      <c r="AI230" s="101"/>
      <c r="AJ230" s="101"/>
      <c r="AK230" s="101"/>
      <c r="AL230" s="101"/>
      <c r="AM230" s="104">
        <f t="shared" si="89"/>
        <v>-258080.54552694189</v>
      </c>
      <c r="AN230" s="104"/>
      <c r="AO230" s="104"/>
      <c r="AP230" s="104"/>
      <c r="AQ230" s="104">
        <f t="shared" si="88"/>
        <v>-258080.54552694189</v>
      </c>
      <c r="AR230" s="104"/>
      <c r="AS230" s="104">
        <f t="shared" si="102"/>
        <v>-258080.54552694189</v>
      </c>
      <c r="AT230" s="104">
        <f t="shared" si="103"/>
        <v>0</v>
      </c>
      <c r="AU230" s="105">
        <f>AD230/K230/M230/8*P230</f>
        <v>-5550119.2586439122</v>
      </c>
      <c r="AV230" s="106"/>
      <c r="AW230" s="106"/>
      <c r="AX230" s="107"/>
      <c r="AY230" s="107"/>
      <c r="AZ230" s="107"/>
      <c r="BA230" s="107"/>
      <c r="BB230" s="108">
        <f t="shared" si="90"/>
        <v>-5550119.2586439122</v>
      </c>
      <c r="BC230" s="108">
        <f>AM230/K230/M230/7*P230</f>
        <v>-6342993.4384501837</v>
      </c>
      <c r="BD230" s="109"/>
      <c r="BE230" s="109"/>
      <c r="BF230" s="109"/>
      <c r="BG230" s="110">
        <f>AQ230/K230/M230/6*P230</f>
        <v>-7400159.0115252156</v>
      </c>
      <c r="BH230" s="110"/>
      <c r="BI230" s="110"/>
      <c r="BJ230" s="123">
        <f t="shared" si="105"/>
        <v>-11470246.467864085</v>
      </c>
      <c r="BK230" s="116"/>
      <c r="BL230" s="79"/>
      <c r="BM230" s="111"/>
    </row>
    <row r="231" spans="1:66" s="112" customFormat="1" ht="25.5">
      <c r="A231" s="84">
        <f t="shared" si="112"/>
        <v>175</v>
      </c>
      <c r="B231" s="85" t="s">
        <v>379</v>
      </c>
      <c r="C231" s="86" t="s">
        <v>380</v>
      </c>
      <c r="D231" s="85" t="s">
        <v>111</v>
      </c>
      <c r="E231" s="87" t="s">
        <v>98</v>
      </c>
      <c r="F231" s="89"/>
      <c r="G231" s="89"/>
      <c r="H231" s="90">
        <v>43525</v>
      </c>
      <c r="I231" s="90">
        <v>43525</v>
      </c>
      <c r="J231" s="91">
        <v>5000000</v>
      </c>
      <c r="K231" s="92">
        <v>7.7499999999999999E-2</v>
      </c>
      <c r="L231" s="63">
        <v>7.4999999999999997E-2</v>
      </c>
      <c r="M231" s="93">
        <v>0.9</v>
      </c>
      <c r="N231" s="94">
        <v>9</v>
      </c>
      <c r="O231" s="94"/>
      <c r="P231" s="93">
        <v>12</v>
      </c>
      <c r="Q231" s="95">
        <f>J231*K231*M231*N231/P231</f>
        <v>261562.5</v>
      </c>
      <c r="R231" s="94">
        <f t="shared" si="93"/>
        <v>3033280.3294915948</v>
      </c>
      <c r="S231" s="95">
        <f>R231*K231*M231*N231/P231</f>
        <v>158678.47723652906</v>
      </c>
      <c r="T231" s="95">
        <f t="shared" si="94"/>
        <v>102884.02276347094</v>
      </c>
      <c r="U231" s="96">
        <v>0.606656065898319</v>
      </c>
      <c r="V231" s="254">
        <v>5100000</v>
      </c>
      <c r="W231" s="122">
        <v>296437.5</v>
      </c>
      <c r="X231" s="95">
        <f t="shared" si="91"/>
        <v>-2066719.6705084052</v>
      </c>
      <c r="Y231" s="95">
        <f t="shared" si="91"/>
        <v>-137759.02276347094</v>
      </c>
      <c r="Z231" s="98">
        <f t="shared" si="92"/>
        <v>-2066719.6705084052</v>
      </c>
      <c r="AA231" s="98">
        <f t="shared" si="92"/>
        <v>-137759.02276347094</v>
      </c>
      <c r="AB231" s="98"/>
      <c r="AC231" s="98"/>
      <c r="AD231" s="98">
        <f t="shared" si="101"/>
        <v>-137759.02276347094</v>
      </c>
      <c r="AE231" s="100">
        <v>0</v>
      </c>
      <c r="AF231" s="100">
        <f>AD231/K231/M231/9*P231</f>
        <v>-2633386.3371750722</v>
      </c>
      <c r="AG231" s="100"/>
      <c r="AH231" s="101"/>
      <c r="AI231" s="101"/>
      <c r="AJ231" s="101"/>
      <c r="AK231" s="101"/>
      <c r="AL231" s="101"/>
      <c r="AM231" s="104">
        <f t="shared" si="89"/>
        <v>-137759.02276347094</v>
      </c>
      <c r="AN231" s="104"/>
      <c r="AO231" s="104"/>
      <c r="AP231" s="104"/>
      <c r="AQ231" s="104">
        <f t="shared" si="88"/>
        <v>-137759.02276347094</v>
      </c>
      <c r="AR231" s="104"/>
      <c r="AS231" s="104">
        <f t="shared" si="102"/>
        <v>-137759.02276347094</v>
      </c>
      <c r="AT231" s="104">
        <f t="shared" si="103"/>
        <v>0</v>
      </c>
      <c r="AU231" s="105">
        <f>AD231/K231/M231/8*P231</f>
        <v>-2962559.6293219561</v>
      </c>
      <c r="AV231" s="106"/>
      <c r="AW231" s="106"/>
      <c r="AX231" s="107"/>
      <c r="AY231" s="107"/>
      <c r="AZ231" s="107"/>
      <c r="BA231" s="107"/>
      <c r="BB231" s="108">
        <f t="shared" si="90"/>
        <v>-2962559.6293219561</v>
      </c>
      <c r="BC231" s="108">
        <f>AM231/K231/M231/7*P231</f>
        <v>-3385782.4335108069</v>
      </c>
      <c r="BD231" s="109"/>
      <c r="BE231" s="109"/>
      <c r="BF231" s="109"/>
      <c r="BG231" s="110">
        <f>AQ231/K231/M231/6*P231</f>
        <v>-3950079.5057626078</v>
      </c>
      <c r="BH231" s="110"/>
      <c r="BI231" s="110"/>
      <c r="BJ231" s="123">
        <f t="shared" si="105"/>
        <v>-6122623.2339320425</v>
      </c>
      <c r="BK231" s="116"/>
      <c r="BL231" s="79"/>
      <c r="BM231" s="111"/>
    </row>
    <row r="232" spans="1:66" s="211" customFormat="1" ht="25.5" hidden="1">
      <c r="A232" s="194"/>
      <c r="B232" s="151" t="s">
        <v>379</v>
      </c>
      <c r="C232" s="152" t="s">
        <v>380</v>
      </c>
      <c r="D232" s="151" t="s">
        <v>64</v>
      </c>
      <c r="E232" s="117" t="s">
        <v>98</v>
      </c>
      <c r="F232" s="151"/>
      <c r="G232" s="151"/>
      <c r="H232" s="195"/>
      <c r="I232" s="195"/>
      <c r="J232" s="196"/>
      <c r="K232" s="197"/>
      <c r="L232" s="63">
        <v>7.4999999999999997E-2</v>
      </c>
      <c r="M232" s="93">
        <v>0.9</v>
      </c>
      <c r="N232" s="94">
        <v>9</v>
      </c>
      <c r="O232" s="94">
        <v>4</v>
      </c>
      <c r="P232" s="93">
        <v>12</v>
      </c>
      <c r="Q232" s="198"/>
      <c r="R232" s="198">
        <f t="shared" si="93"/>
        <v>0</v>
      </c>
      <c r="S232" s="198"/>
      <c r="T232" s="198"/>
      <c r="U232" s="199"/>
      <c r="V232" s="313"/>
      <c r="W232" s="314"/>
      <c r="X232" s="198"/>
      <c r="Y232" s="198"/>
      <c r="Z232" s="201"/>
      <c r="AA232" s="201"/>
      <c r="AB232" s="201"/>
      <c r="AC232" s="201"/>
      <c r="AD232" s="201"/>
      <c r="AE232" s="202"/>
      <c r="AF232" s="202"/>
      <c r="AG232" s="202"/>
      <c r="AH232" s="203"/>
      <c r="AI232" s="203"/>
      <c r="AJ232" s="203"/>
      <c r="AK232" s="203"/>
      <c r="AL232" s="203"/>
      <c r="AM232" s="204"/>
      <c r="AN232" s="204"/>
      <c r="AO232" s="204"/>
      <c r="AP232" s="204"/>
      <c r="AQ232" s="204"/>
      <c r="AR232" s="204"/>
      <c r="AS232" s="69">
        <f t="shared" si="102"/>
        <v>0</v>
      </c>
      <c r="AT232" s="69">
        <f t="shared" si="103"/>
        <v>0</v>
      </c>
      <c r="AU232" s="306"/>
      <c r="AV232" s="206"/>
      <c r="AW232" s="206"/>
      <c r="AX232" s="207"/>
      <c r="AY232" s="207"/>
      <c r="AZ232" s="207"/>
      <c r="BA232" s="207"/>
      <c r="BB232" s="208"/>
      <c r="BC232" s="208"/>
      <c r="BD232" s="209"/>
      <c r="BE232" s="209"/>
      <c r="BF232" s="209"/>
      <c r="BG232" s="210"/>
      <c r="BH232" s="210"/>
      <c r="BI232" s="78">
        <f t="shared" si="104"/>
        <v>0</v>
      </c>
      <c r="BJ232" s="79">
        <f t="shared" si="105"/>
        <v>0</v>
      </c>
      <c r="BK232" s="79"/>
      <c r="BL232" s="143">
        <v>10000000</v>
      </c>
      <c r="BM232" s="315" t="s">
        <v>72</v>
      </c>
      <c r="BN232" s="83" t="s">
        <v>64</v>
      </c>
    </row>
    <row r="233" spans="1:66" s="112" customFormat="1" ht="25.5">
      <c r="A233" s="84">
        <f>A231+1</f>
        <v>176</v>
      </c>
      <c r="B233" s="85" t="s">
        <v>381</v>
      </c>
      <c r="C233" s="86" t="s">
        <v>382</v>
      </c>
      <c r="D233" s="85" t="s">
        <v>64</v>
      </c>
      <c r="E233" s="87" t="s">
        <v>98</v>
      </c>
      <c r="F233" s="89"/>
      <c r="G233" s="89"/>
      <c r="H233" s="90">
        <v>43525</v>
      </c>
      <c r="I233" s="90">
        <v>43525</v>
      </c>
      <c r="J233" s="91">
        <v>15000000</v>
      </c>
      <c r="K233" s="92">
        <v>7.7499999999999999E-2</v>
      </c>
      <c r="L233" s="63">
        <v>7.4999999999999997E-2</v>
      </c>
      <c r="M233" s="93">
        <v>0.9</v>
      </c>
      <c r="N233" s="94">
        <v>9</v>
      </c>
      <c r="O233" s="94"/>
      <c r="P233" s="93">
        <v>12</v>
      </c>
      <c r="Q233" s="95">
        <f>J233*K233*M233*N233/P233</f>
        <v>784687.5</v>
      </c>
      <c r="R233" s="94">
        <f t="shared" si="93"/>
        <v>9099840.9884747844</v>
      </c>
      <c r="S233" s="95">
        <f>R233*K233*M233*N233/P233</f>
        <v>476035.43170958717</v>
      </c>
      <c r="T233" s="95">
        <f t="shared" si="94"/>
        <v>308652.06829041283</v>
      </c>
      <c r="U233" s="96">
        <v>0.606656065898319</v>
      </c>
      <c r="V233" s="94"/>
      <c r="W233" s="97"/>
      <c r="X233" s="95">
        <f t="shared" si="91"/>
        <v>9099840.9884747844</v>
      </c>
      <c r="Y233" s="95">
        <f t="shared" si="91"/>
        <v>476035.43170958717</v>
      </c>
      <c r="Z233" s="98">
        <f t="shared" si="92"/>
        <v>9099840.9884747844</v>
      </c>
      <c r="AA233" s="98">
        <f t="shared" si="92"/>
        <v>476035.43170958717</v>
      </c>
      <c r="AB233" s="98">
        <f>813750-AB234-AB235</f>
        <v>476035.43</v>
      </c>
      <c r="AC233" s="98"/>
      <c r="AD233" s="98">
        <f t="shared" si="101"/>
        <v>1.7095871735364199E-3</v>
      </c>
      <c r="AE233" s="100">
        <v>2379713.7792546153</v>
      </c>
      <c r="AF233" s="100">
        <f>AD233/K233/M233/9*P233</f>
        <v>3.2680280497709345E-2</v>
      </c>
      <c r="AG233" s="100"/>
      <c r="AH233" s="101"/>
      <c r="AI233" s="101"/>
      <c r="AJ233" s="101"/>
      <c r="AK233" s="101"/>
      <c r="AL233" s="101"/>
      <c r="AM233" s="104">
        <f t="shared" si="89"/>
        <v>1.7095871735364199E-3</v>
      </c>
      <c r="AN233" s="104"/>
      <c r="AO233" s="104"/>
      <c r="AP233" s="104"/>
      <c r="AQ233" s="104">
        <f t="shared" si="88"/>
        <v>1.7095871735364199E-3</v>
      </c>
      <c r="AR233" s="104"/>
      <c r="AS233" s="104">
        <f t="shared" si="102"/>
        <v>1.7095871735364199E-3</v>
      </c>
      <c r="AT233" s="104">
        <f t="shared" si="103"/>
        <v>0</v>
      </c>
      <c r="AU233" s="181">
        <f>AD233/K233/M233/8*P233</f>
        <v>3.6765315559923011E-2</v>
      </c>
      <c r="AV233" s="106"/>
      <c r="AW233" s="106"/>
      <c r="AX233" s="107"/>
      <c r="AY233" s="107"/>
      <c r="AZ233" s="107"/>
      <c r="BA233" s="107"/>
      <c r="BB233" s="108">
        <f t="shared" si="90"/>
        <v>3.6765315559923011E-2</v>
      </c>
      <c r="BC233" s="108">
        <f>AM233/K233/M233/7*P233</f>
        <v>4.2017503497054867E-2</v>
      </c>
      <c r="BD233" s="109"/>
      <c r="BE233" s="109"/>
      <c r="BF233" s="109"/>
      <c r="BG233" s="110">
        <f>AQ233/K233/M233/6*P233</f>
        <v>4.9020420746564014E-2</v>
      </c>
      <c r="BH233" s="110"/>
      <c r="BI233" s="110">
        <f t="shared" si="104"/>
        <v>1.7095871735364199E-3</v>
      </c>
      <c r="BJ233" s="116">
        <f t="shared" si="105"/>
        <v>7.5981652157174215E-2</v>
      </c>
      <c r="BK233" s="116"/>
      <c r="BL233" s="79"/>
      <c r="BM233" s="111"/>
    </row>
    <row r="234" spans="1:66" s="112" customFormat="1" ht="25.5">
      <c r="A234" s="84">
        <f t="shared" si="112"/>
        <v>177</v>
      </c>
      <c r="B234" s="85" t="s">
        <v>381</v>
      </c>
      <c r="C234" s="86" t="s">
        <v>382</v>
      </c>
      <c r="D234" s="85" t="s">
        <v>64</v>
      </c>
      <c r="E234" s="87" t="s">
        <v>98</v>
      </c>
      <c r="F234" s="89"/>
      <c r="G234" s="89"/>
      <c r="H234" s="90">
        <v>43525</v>
      </c>
      <c r="I234" s="90">
        <v>43525</v>
      </c>
      <c r="J234" s="91">
        <v>10000000</v>
      </c>
      <c r="K234" s="92">
        <v>7.7499999999999999E-2</v>
      </c>
      <c r="L234" s="63">
        <v>7.4999999999999997E-2</v>
      </c>
      <c r="M234" s="93">
        <v>0.9</v>
      </c>
      <c r="N234" s="94">
        <v>9</v>
      </c>
      <c r="O234" s="94"/>
      <c r="P234" s="93">
        <v>12</v>
      </c>
      <c r="Q234" s="95">
        <f>J234*K234*M234*N234/P234</f>
        <v>523125</v>
      </c>
      <c r="R234" s="94">
        <f t="shared" si="93"/>
        <v>6066560.6589831896</v>
      </c>
      <c r="S234" s="95">
        <f>R234*K234*M234*N234/P234</f>
        <v>317356.95447305811</v>
      </c>
      <c r="T234" s="95">
        <f t="shared" si="94"/>
        <v>205768.04552694189</v>
      </c>
      <c r="U234" s="96">
        <v>0.606656065898319</v>
      </c>
      <c r="V234" s="94"/>
      <c r="W234" s="97"/>
      <c r="X234" s="95">
        <f t="shared" si="91"/>
        <v>6066560.6589831896</v>
      </c>
      <c r="Y234" s="95">
        <f t="shared" si="91"/>
        <v>317356.95447305811</v>
      </c>
      <c r="Z234" s="98">
        <f t="shared" si="92"/>
        <v>6066560.6589831896</v>
      </c>
      <c r="AA234" s="98">
        <f t="shared" si="92"/>
        <v>317356.95447305811</v>
      </c>
      <c r="AB234" s="98">
        <v>317356.95</v>
      </c>
      <c r="AC234" s="98"/>
      <c r="AD234" s="98">
        <f t="shared" si="101"/>
        <v>4.4730580993928015E-3</v>
      </c>
      <c r="AE234" s="100">
        <v>0</v>
      </c>
      <c r="AF234" s="100">
        <f>AD234/K234/M234/9*P234</f>
        <v>8.5506486965692741E-2</v>
      </c>
      <c r="AG234" s="100"/>
      <c r="AH234" s="101"/>
      <c r="AI234" s="101"/>
      <c r="AJ234" s="101"/>
      <c r="AK234" s="101"/>
      <c r="AL234" s="101"/>
      <c r="AM234" s="104">
        <f t="shared" si="89"/>
        <v>4.4730580993928015E-3</v>
      </c>
      <c r="AN234" s="104"/>
      <c r="AO234" s="104"/>
      <c r="AP234" s="104"/>
      <c r="AQ234" s="104">
        <f t="shared" si="88"/>
        <v>4.4730580993928015E-3</v>
      </c>
      <c r="AR234" s="104"/>
      <c r="AS234" s="104">
        <f t="shared" si="102"/>
        <v>4.4730580993928015E-3</v>
      </c>
      <c r="AT234" s="104">
        <f t="shared" si="103"/>
        <v>0</v>
      </c>
      <c r="AU234" s="181">
        <f>AD234/K234/M234/8*P234</f>
        <v>9.6194797836404333E-2</v>
      </c>
      <c r="AV234" s="106"/>
      <c r="AW234" s="106"/>
      <c r="AX234" s="107"/>
      <c r="AY234" s="107"/>
      <c r="AZ234" s="107"/>
      <c r="BA234" s="107"/>
      <c r="BB234" s="108">
        <f t="shared" si="90"/>
        <v>9.6194797836404333E-2</v>
      </c>
      <c r="BC234" s="108">
        <f>AM234/K234/M234/7*P234</f>
        <v>0.10993691181303353</v>
      </c>
      <c r="BD234" s="109"/>
      <c r="BE234" s="109"/>
      <c r="BF234" s="109"/>
      <c r="BG234" s="110">
        <f>AQ234/K234/M234/6*P234</f>
        <v>0.12825973044853911</v>
      </c>
      <c r="BH234" s="110"/>
      <c r="BI234" s="110">
        <f t="shared" si="104"/>
        <v>4.4730580993928015E-3</v>
      </c>
      <c r="BJ234" s="116">
        <f t="shared" si="105"/>
        <v>0.19880258219523564</v>
      </c>
      <c r="BK234" s="116"/>
      <c r="BL234" s="79"/>
      <c r="BM234" s="111"/>
    </row>
    <row r="235" spans="1:66">
      <c r="A235" s="236">
        <f t="shared" si="112"/>
        <v>178</v>
      </c>
      <c r="B235" s="237" t="s">
        <v>381</v>
      </c>
      <c r="C235" s="253" t="s">
        <v>382</v>
      </c>
      <c r="D235" s="117" t="s">
        <v>332</v>
      </c>
      <c r="E235" s="237" t="s">
        <v>98</v>
      </c>
      <c r="F235" s="237"/>
      <c r="G235" s="237"/>
      <c r="H235" s="238">
        <v>43525</v>
      </c>
      <c r="I235" s="61" t="s">
        <v>94</v>
      </c>
      <c r="J235" s="239">
        <v>5000000</v>
      </c>
      <c r="K235" s="240">
        <v>7.7499999999999999E-2</v>
      </c>
      <c r="L235" s="63">
        <v>7.4999999999999997E-2</v>
      </c>
      <c r="M235" s="241">
        <v>0.9</v>
      </c>
      <c r="N235" s="242">
        <v>9</v>
      </c>
      <c r="O235" s="242">
        <v>4</v>
      </c>
      <c r="P235" s="241">
        <v>12</v>
      </c>
      <c r="Q235" s="242">
        <f>J235*K235*M235*N235/P235</f>
        <v>261562.5</v>
      </c>
      <c r="R235" s="242">
        <f t="shared" si="93"/>
        <v>3033280.3294915948</v>
      </c>
      <c r="S235" s="242">
        <f>R235*K235*M235*N235/P235</f>
        <v>158678.47723652906</v>
      </c>
      <c r="T235" s="242">
        <f t="shared" si="94"/>
        <v>102884.02276347094</v>
      </c>
      <c r="U235" s="243">
        <v>0.606656065898319</v>
      </c>
      <c r="V235" s="242"/>
      <c r="W235" s="241"/>
      <c r="X235" s="242">
        <f t="shared" si="91"/>
        <v>3033280.3294915948</v>
      </c>
      <c r="Y235" s="242">
        <f t="shared" si="91"/>
        <v>158678.47723652906</v>
      </c>
      <c r="Z235" s="244">
        <f t="shared" si="92"/>
        <v>3033280.3294915948</v>
      </c>
      <c r="AA235" s="244">
        <f t="shared" si="92"/>
        <v>158678.47723652906</v>
      </c>
      <c r="AB235" s="244">
        <v>20357.62</v>
      </c>
      <c r="AC235" s="244"/>
      <c r="AD235" s="328">
        <f t="shared" si="101"/>
        <v>138320.85723652906</v>
      </c>
      <c r="AE235" s="246">
        <v>0</v>
      </c>
      <c r="AF235" s="246">
        <f>AD235/K235/M235/9*P235</f>
        <v>2644126.3032072457</v>
      </c>
      <c r="AG235" s="246"/>
      <c r="AH235" s="247"/>
      <c r="AI235" s="247"/>
      <c r="AJ235" s="70"/>
      <c r="AK235" s="70"/>
      <c r="AL235" s="71"/>
      <c r="AM235" s="69">
        <f t="shared" si="89"/>
        <v>138320.85723652906</v>
      </c>
      <c r="AN235" s="69"/>
      <c r="AO235" s="69"/>
      <c r="AP235" s="69"/>
      <c r="AQ235" s="69">
        <f t="shared" si="88"/>
        <v>138320.85723652906</v>
      </c>
      <c r="AR235" s="69"/>
      <c r="AS235" s="69">
        <f t="shared" si="102"/>
        <v>138320.85723652906</v>
      </c>
      <c r="AT235" s="69">
        <f t="shared" si="103"/>
        <v>138320.85712500001</v>
      </c>
      <c r="AU235" s="248">
        <f>AD235/K235/M235/8*P235</f>
        <v>2974642.0911081517</v>
      </c>
      <c r="AV235" s="248"/>
      <c r="AW235" s="248"/>
      <c r="AX235" s="249"/>
      <c r="AY235" s="74"/>
      <c r="AZ235" s="74"/>
      <c r="BA235" s="75"/>
      <c r="BB235" s="76">
        <f t="shared" si="90"/>
        <v>2974642.0911081517</v>
      </c>
      <c r="BC235" s="76">
        <f>AM235/K235/M235/7*P235</f>
        <v>3399590.961266459</v>
      </c>
      <c r="BD235" s="251"/>
      <c r="BE235" s="251"/>
      <c r="BF235" s="251"/>
      <c r="BG235" s="78">
        <f>AQ235/K235/M235/6*P235</f>
        <v>3966189.4548108689</v>
      </c>
      <c r="BH235" s="78"/>
      <c r="BI235" s="78">
        <f t="shared" si="104"/>
        <v>1.1152905062772334E-4</v>
      </c>
      <c r="BJ235" s="79">
        <f t="shared" si="105"/>
        <v>6147593.6549568474</v>
      </c>
      <c r="BK235" s="79">
        <v>6147593.6500000004</v>
      </c>
      <c r="BL235" s="79">
        <v>10000000</v>
      </c>
      <c r="BM235" s="315" t="s">
        <v>99</v>
      </c>
      <c r="BN235" s="211" t="s">
        <v>186</v>
      </c>
    </row>
    <row r="236" spans="1:66" hidden="1">
      <c r="A236" s="236"/>
      <c r="B236" s="117" t="s">
        <v>381</v>
      </c>
      <c r="C236" s="118" t="s">
        <v>382</v>
      </c>
      <c r="D236" s="117"/>
      <c r="E236" s="237"/>
      <c r="F236" s="237"/>
      <c r="G236" s="237"/>
      <c r="H236" s="238"/>
      <c r="I236" s="61"/>
      <c r="J236" s="239"/>
      <c r="K236" s="240"/>
      <c r="L236" s="63">
        <v>7.4999999999999997E-2</v>
      </c>
      <c r="M236" s="241">
        <v>0.9</v>
      </c>
      <c r="N236" s="242">
        <v>9</v>
      </c>
      <c r="O236" s="242">
        <v>4</v>
      </c>
      <c r="P236" s="241">
        <v>12</v>
      </c>
      <c r="Q236" s="242"/>
      <c r="R236" s="242"/>
      <c r="S236" s="242"/>
      <c r="T236" s="242"/>
      <c r="U236" s="243"/>
      <c r="V236" s="242"/>
      <c r="W236" s="241"/>
      <c r="X236" s="242"/>
      <c r="Y236" s="242"/>
      <c r="Z236" s="244"/>
      <c r="AA236" s="244"/>
      <c r="AB236" s="244"/>
      <c r="AC236" s="244"/>
      <c r="AD236" s="328"/>
      <c r="AE236" s="246"/>
      <c r="AF236" s="246"/>
      <c r="AG236" s="246"/>
      <c r="AH236" s="247"/>
      <c r="AI236" s="247"/>
      <c r="AJ236" s="70"/>
      <c r="AK236" s="70"/>
      <c r="AL236" s="71"/>
      <c r="AM236" s="69"/>
      <c r="AN236" s="69"/>
      <c r="AO236" s="69"/>
      <c r="AP236" s="69"/>
      <c r="AQ236" s="69"/>
      <c r="AR236" s="69"/>
      <c r="AS236" s="69">
        <f t="shared" si="102"/>
        <v>0</v>
      </c>
      <c r="AT236" s="69">
        <f t="shared" si="103"/>
        <v>0</v>
      </c>
      <c r="AU236" s="248"/>
      <c r="AV236" s="248"/>
      <c r="AW236" s="248"/>
      <c r="AX236" s="249"/>
      <c r="AY236" s="74"/>
      <c r="AZ236" s="74"/>
      <c r="BA236" s="75"/>
      <c r="BB236" s="76"/>
      <c r="BC236" s="76"/>
      <c r="BD236" s="251"/>
      <c r="BE236" s="251"/>
      <c r="BF236" s="251"/>
      <c r="BG236" s="78"/>
      <c r="BH236" s="78"/>
      <c r="BI236" s="78">
        <f t="shared" si="104"/>
        <v>0</v>
      </c>
      <c r="BJ236" s="79">
        <f t="shared" si="105"/>
        <v>0</v>
      </c>
      <c r="BK236" s="79"/>
      <c r="BL236" s="79">
        <v>4000000</v>
      </c>
      <c r="BM236" s="315" t="s">
        <v>99</v>
      </c>
      <c r="BN236" s="211" t="s">
        <v>76</v>
      </c>
    </row>
    <row r="237" spans="1:66" ht="25.5" hidden="1">
      <c r="A237" s="236"/>
      <c r="B237" s="117" t="s">
        <v>299</v>
      </c>
      <c r="C237" s="253" t="s">
        <v>383</v>
      </c>
      <c r="D237" s="117" t="s">
        <v>97</v>
      </c>
      <c r="E237" s="237"/>
      <c r="F237" s="237"/>
      <c r="G237" s="237"/>
      <c r="H237" s="238"/>
      <c r="I237" s="61"/>
      <c r="J237" s="239"/>
      <c r="K237" s="240"/>
      <c r="L237" s="63">
        <v>7.4999999999999997E-2</v>
      </c>
      <c r="M237" s="241">
        <v>0.9</v>
      </c>
      <c r="N237" s="242">
        <v>9</v>
      </c>
      <c r="O237" s="242">
        <v>4</v>
      </c>
      <c r="P237" s="241">
        <v>12</v>
      </c>
      <c r="Q237" s="242"/>
      <c r="R237" s="242">
        <f t="shared" si="93"/>
        <v>0</v>
      </c>
      <c r="S237" s="242"/>
      <c r="T237" s="242"/>
      <c r="U237" s="243"/>
      <c r="V237" s="242"/>
      <c r="W237" s="241"/>
      <c r="X237" s="242">
        <f t="shared" si="91"/>
        <v>0</v>
      </c>
      <c r="Y237" s="242"/>
      <c r="Z237" s="244">
        <f t="shared" si="92"/>
        <v>0</v>
      </c>
      <c r="AA237" s="244"/>
      <c r="AB237" s="244"/>
      <c r="AC237" s="244"/>
      <c r="AD237" s="328"/>
      <c r="AE237" s="246"/>
      <c r="AF237" s="246"/>
      <c r="AG237" s="246"/>
      <c r="AH237" s="247"/>
      <c r="AI237" s="247"/>
      <c r="AJ237" s="70"/>
      <c r="AK237" s="70"/>
      <c r="AL237" s="71"/>
      <c r="AM237" s="69"/>
      <c r="AN237" s="69"/>
      <c r="AO237" s="69"/>
      <c r="AP237" s="69"/>
      <c r="AQ237" s="69"/>
      <c r="AR237" s="69"/>
      <c r="AS237" s="69">
        <f t="shared" si="102"/>
        <v>0</v>
      </c>
      <c r="AT237" s="69">
        <f t="shared" si="103"/>
        <v>0</v>
      </c>
      <c r="AU237" s="248"/>
      <c r="AV237" s="248"/>
      <c r="AW237" s="248"/>
      <c r="AX237" s="249"/>
      <c r="AY237" s="74"/>
      <c r="AZ237" s="74"/>
      <c r="BA237" s="75"/>
      <c r="BB237" s="76"/>
      <c r="BC237" s="76"/>
      <c r="BD237" s="251"/>
      <c r="BE237" s="251"/>
      <c r="BF237" s="251"/>
      <c r="BG237" s="78"/>
      <c r="BH237" s="78"/>
      <c r="BI237" s="78">
        <f t="shared" si="104"/>
        <v>0</v>
      </c>
      <c r="BJ237" s="79">
        <f t="shared" si="105"/>
        <v>0</v>
      </c>
      <c r="BK237" s="79"/>
      <c r="BL237" s="79">
        <v>10000000</v>
      </c>
      <c r="BM237" s="315" t="s">
        <v>99</v>
      </c>
      <c r="BN237" s="211" t="s">
        <v>186</v>
      </c>
    </row>
    <row r="238" spans="1:66" hidden="1">
      <c r="A238" s="236"/>
      <c r="B238" s="117" t="s">
        <v>299</v>
      </c>
      <c r="C238" s="253" t="s">
        <v>383</v>
      </c>
      <c r="D238" s="117"/>
      <c r="E238" s="237"/>
      <c r="F238" s="237"/>
      <c r="G238" s="237"/>
      <c r="H238" s="238"/>
      <c r="I238" s="61"/>
      <c r="J238" s="239"/>
      <c r="K238" s="240"/>
      <c r="L238" s="63">
        <v>7.4999999999999997E-2</v>
      </c>
      <c r="M238" s="241">
        <v>0.9</v>
      </c>
      <c r="N238" s="242">
        <v>9</v>
      </c>
      <c r="O238" s="242">
        <v>4</v>
      </c>
      <c r="P238" s="241">
        <v>12</v>
      </c>
      <c r="Q238" s="242"/>
      <c r="R238" s="242"/>
      <c r="S238" s="242"/>
      <c r="T238" s="242"/>
      <c r="U238" s="243"/>
      <c r="V238" s="242"/>
      <c r="W238" s="241"/>
      <c r="X238" s="242"/>
      <c r="Y238" s="242"/>
      <c r="Z238" s="244"/>
      <c r="AA238" s="244"/>
      <c r="AB238" s="244"/>
      <c r="AC238" s="244"/>
      <c r="AD238" s="328"/>
      <c r="AE238" s="246"/>
      <c r="AF238" s="246"/>
      <c r="AG238" s="246"/>
      <c r="AH238" s="247"/>
      <c r="AI238" s="247"/>
      <c r="AJ238" s="70"/>
      <c r="AK238" s="70"/>
      <c r="AL238" s="71"/>
      <c r="AM238" s="69"/>
      <c r="AN238" s="69"/>
      <c r="AO238" s="69"/>
      <c r="AP238" s="69"/>
      <c r="AQ238" s="69"/>
      <c r="AR238" s="69"/>
      <c r="AS238" s="69">
        <f t="shared" si="102"/>
        <v>0</v>
      </c>
      <c r="AT238" s="69">
        <f t="shared" si="103"/>
        <v>0</v>
      </c>
      <c r="AU238" s="248"/>
      <c r="AV238" s="248"/>
      <c r="AW238" s="248"/>
      <c r="AX238" s="249"/>
      <c r="AY238" s="74"/>
      <c r="AZ238" s="74"/>
      <c r="BA238" s="75"/>
      <c r="BB238" s="76"/>
      <c r="BC238" s="76"/>
      <c r="BD238" s="251"/>
      <c r="BE238" s="251"/>
      <c r="BF238" s="251"/>
      <c r="BG238" s="78"/>
      <c r="BH238" s="78"/>
      <c r="BI238" s="78">
        <f t="shared" si="104"/>
        <v>0</v>
      </c>
      <c r="BJ238" s="79">
        <f t="shared" si="105"/>
        <v>0</v>
      </c>
      <c r="BK238" s="79"/>
      <c r="BL238" s="79">
        <v>4000000</v>
      </c>
      <c r="BM238" s="315" t="s">
        <v>99</v>
      </c>
      <c r="BN238" s="211" t="s">
        <v>76</v>
      </c>
    </row>
    <row r="239" spans="1:66" s="112" customFormat="1" ht="25.5">
      <c r="A239" s="84">
        <f>A235+1</f>
        <v>179</v>
      </c>
      <c r="B239" s="85" t="s">
        <v>384</v>
      </c>
      <c r="C239" s="86" t="s">
        <v>385</v>
      </c>
      <c r="D239" s="85" t="s">
        <v>64</v>
      </c>
      <c r="E239" s="87" t="s">
        <v>65</v>
      </c>
      <c r="F239" s="89"/>
      <c r="G239" s="89"/>
      <c r="H239" s="90">
        <v>43525</v>
      </c>
      <c r="I239" s="90">
        <v>43525</v>
      </c>
      <c r="J239" s="91">
        <v>3000000</v>
      </c>
      <c r="K239" s="92">
        <v>7.7499999999999999E-2</v>
      </c>
      <c r="L239" s="63">
        <v>7.4999999999999997E-2</v>
      </c>
      <c r="M239" s="93">
        <v>0.9</v>
      </c>
      <c r="N239" s="94">
        <v>9</v>
      </c>
      <c r="O239" s="94"/>
      <c r="P239" s="93">
        <v>12</v>
      </c>
      <c r="Q239" s="95">
        <f>J239*K239*M239*N239/P239</f>
        <v>156937.5</v>
      </c>
      <c r="R239" s="94">
        <f t="shared" si="93"/>
        <v>1819968.197694957</v>
      </c>
      <c r="S239" s="95">
        <f>R239*K239*M239*N239/P239</f>
        <v>95207.086341917442</v>
      </c>
      <c r="T239" s="95">
        <f t="shared" si="94"/>
        <v>61730.413658082558</v>
      </c>
      <c r="U239" s="96">
        <v>0.606656065898319</v>
      </c>
      <c r="V239" s="254">
        <v>2000000</v>
      </c>
      <c r="W239" s="122">
        <v>116250</v>
      </c>
      <c r="X239" s="95">
        <f t="shared" si="91"/>
        <v>-180031.80230504298</v>
      </c>
      <c r="Y239" s="95">
        <f t="shared" si="91"/>
        <v>-21042.913658082558</v>
      </c>
      <c r="Z239" s="98">
        <f t="shared" si="92"/>
        <v>-180031.80230504298</v>
      </c>
      <c r="AA239" s="98">
        <f t="shared" si="92"/>
        <v>-21042.913658082558</v>
      </c>
      <c r="AB239" s="98"/>
      <c r="AC239" s="98"/>
      <c r="AD239" s="98">
        <f t="shared" si="101"/>
        <v>-21042.913658082558</v>
      </c>
      <c r="AE239" s="100">
        <v>-362028.62207453861</v>
      </c>
      <c r="AF239" s="100">
        <f>AD239/K239/M239/9*P239</f>
        <v>-402254.02452726517</v>
      </c>
      <c r="AG239" s="100"/>
      <c r="AH239" s="101"/>
      <c r="AI239" s="101"/>
      <c r="AJ239" s="101"/>
      <c r="AK239" s="101"/>
      <c r="AL239" s="101"/>
      <c r="AM239" s="104">
        <f t="shared" si="89"/>
        <v>-21042.913658082558</v>
      </c>
      <c r="AN239" s="104"/>
      <c r="AO239" s="104"/>
      <c r="AP239" s="104"/>
      <c r="AQ239" s="104">
        <f t="shared" si="88"/>
        <v>-21042.913658082558</v>
      </c>
      <c r="AR239" s="104"/>
      <c r="AS239" s="104">
        <f t="shared" si="102"/>
        <v>-21042.913658082558</v>
      </c>
      <c r="AT239" s="104">
        <f t="shared" si="103"/>
        <v>0</v>
      </c>
      <c r="AU239" s="105">
        <f>AD239/K239/M239/8*P239</f>
        <v>-452535.77759317332</v>
      </c>
      <c r="AV239" s="106"/>
      <c r="AW239" s="106"/>
      <c r="AX239" s="107"/>
      <c r="AY239" s="107"/>
      <c r="AZ239" s="107"/>
      <c r="BA239" s="107"/>
      <c r="BB239" s="108">
        <f t="shared" si="90"/>
        <v>-452535.77759317332</v>
      </c>
      <c r="BC239" s="108">
        <f>AM239/K239/M239/7*P239</f>
        <v>-517183.74582076946</v>
      </c>
      <c r="BD239" s="109"/>
      <c r="BE239" s="109"/>
      <c r="BF239" s="109"/>
      <c r="BG239" s="110">
        <f>AQ239/K239/M239/6*P239</f>
        <v>-603381.03679089772</v>
      </c>
      <c r="BH239" s="110"/>
      <c r="BI239" s="110"/>
      <c r="BJ239" s="123">
        <f t="shared" si="105"/>
        <v>-935240.60702589131</v>
      </c>
      <c r="BK239" s="116"/>
      <c r="BL239" s="79"/>
      <c r="BM239" s="111"/>
    </row>
    <row r="240" spans="1:66" s="170" customFormat="1" ht="25.5" hidden="1">
      <c r="A240" s="150"/>
      <c r="B240" s="151" t="s">
        <v>384</v>
      </c>
      <c r="C240" s="152" t="s">
        <v>385</v>
      </c>
      <c r="D240" s="153"/>
      <c r="E240" s="127" t="s">
        <v>65</v>
      </c>
      <c r="F240" s="153"/>
      <c r="G240" s="153"/>
      <c r="H240" s="155"/>
      <c r="I240" s="155"/>
      <c r="J240" s="156"/>
      <c r="K240" s="157"/>
      <c r="L240" s="63">
        <v>7.4999999999999997E-2</v>
      </c>
      <c r="M240" s="93">
        <v>0.9</v>
      </c>
      <c r="N240" s="94">
        <v>9</v>
      </c>
      <c r="O240" s="94">
        <v>4</v>
      </c>
      <c r="P240" s="93">
        <v>12</v>
      </c>
      <c r="Q240" s="158"/>
      <c r="R240" s="158"/>
      <c r="S240" s="158"/>
      <c r="T240" s="158"/>
      <c r="U240" s="159"/>
      <c r="V240" s="192"/>
      <c r="W240" s="193"/>
      <c r="X240" s="158"/>
      <c r="Y240" s="158"/>
      <c r="Z240" s="161"/>
      <c r="AA240" s="161"/>
      <c r="AB240" s="161"/>
      <c r="AC240" s="161"/>
      <c r="AD240" s="161"/>
      <c r="AE240" s="163"/>
      <c r="AF240" s="163"/>
      <c r="AG240" s="163"/>
      <c r="AH240" s="102"/>
      <c r="AI240" s="102"/>
      <c r="AJ240" s="102"/>
      <c r="AK240" s="102"/>
      <c r="AL240" s="102"/>
      <c r="AM240" s="70"/>
      <c r="AN240" s="70"/>
      <c r="AO240" s="70"/>
      <c r="AP240" s="70"/>
      <c r="AQ240" s="70"/>
      <c r="AR240" s="70"/>
      <c r="AS240" s="69">
        <f t="shared" si="102"/>
        <v>0</v>
      </c>
      <c r="AT240" s="69">
        <f t="shared" si="103"/>
        <v>0</v>
      </c>
      <c r="AU240" s="164"/>
      <c r="AV240" s="165"/>
      <c r="AW240" s="165"/>
      <c r="AX240" s="166"/>
      <c r="AY240" s="166"/>
      <c r="AZ240" s="166"/>
      <c r="BA240" s="166"/>
      <c r="BB240" s="137"/>
      <c r="BC240" s="137"/>
      <c r="BD240" s="167"/>
      <c r="BE240" s="167"/>
      <c r="BF240" s="167"/>
      <c r="BG240" s="168"/>
      <c r="BH240" s="168"/>
      <c r="BI240" s="78">
        <f t="shared" si="104"/>
        <v>0</v>
      </c>
      <c r="BJ240" s="79">
        <f t="shared" si="105"/>
        <v>0</v>
      </c>
      <c r="BK240" s="79"/>
      <c r="BL240" s="169">
        <v>2000000</v>
      </c>
      <c r="BM240" s="186" t="s">
        <v>72</v>
      </c>
      <c r="BN240" s="170" t="s">
        <v>73</v>
      </c>
    </row>
    <row r="241" spans="1:67" s="112" customFormat="1" ht="25.5">
      <c r="A241" s="84">
        <f>A239+1</f>
        <v>180</v>
      </c>
      <c r="B241" s="85" t="s">
        <v>386</v>
      </c>
      <c r="C241" s="86" t="s">
        <v>387</v>
      </c>
      <c r="D241" s="85" t="s">
        <v>64</v>
      </c>
      <c r="E241" s="87" t="s">
        <v>65</v>
      </c>
      <c r="F241" s="89"/>
      <c r="G241" s="89"/>
      <c r="H241" s="90">
        <v>43525</v>
      </c>
      <c r="I241" s="90">
        <v>43525</v>
      </c>
      <c r="J241" s="91">
        <v>5000000</v>
      </c>
      <c r="K241" s="92">
        <v>7.7499999999999999E-2</v>
      </c>
      <c r="L241" s="63">
        <v>7.4999999999999997E-2</v>
      </c>
      <c r="M241" s="93">
        <v>0.9</v>
      </c>
      <c r="N241" s="94">
        <v>9</v>
      </c>
      <c r="O241" s="94"/>
      <c r="P241" s="93">
        <v>12</v>
      </c>
      <c r="Q241" s="95">
        <f>J241*K241*M241*N241/P241</f>
        <v>261562.5</v>
      </c>
      <c r="R241" s="94">
        <f t="shared" si="93"/>
        <v>3033280.3294915948</v>
      </c>
      <c r="S241" s="95">
        <f>R241*K241*M241*N241/P241</f>
        <v>158678.47723652906</v>
      </c>
      <c r="T241" s="95">
        <f t="shared" si="94"/>
        <v>102884.02276347094</v>
      </c>
      <c r="U241" s="96">
        <v>0.606656065898319</v>
      </c>
      <c r="V241" s="254">
        <v>5000000</v>
      </c>
      <c r="W241" s="122">
        <v>290625</v>
      </c>
      <c r="X241" s="95">
        <f t="shared" si="91"/>
        <v>-1966719.6705084052</v>
      </c>
      <c r="Y241" s="95">
        <f t="shared" si="91"/>
        <v>-131946.52276347094</v>
      </c>
      <c r="Z241" s="98">
        <f t="shared" si="92"/>
        <v>-1966719.6705084052</v>
      </c>
      <c r="AA241" s="98">
        <f t="shared" si="92"/>
        <v>-131946.52276347094</v>
      </c>
      <c r="AB241" s="98"/>
      <c r="AC241" s="98"/>
      <c r="AD241" s="98">
        <f t="shared" si="101"/>
        <v>-131946.52276347094</v>
      </c>
      <c r="AE241" s="100">
        <v>-2270047.7034575646</v>
      </c>
      <c r="AF241" s="100">
        <f>AD241/K241/M241/9*P241</f>
        <v>-2522275.2260639607</v>
      </c>
      <c r="AG241" s="100"/>
      <c r="AH241" s="101"/>
      <c r="AI241" s="101"/>
      <c r="AJ241" s="101"/>
      <c r="AK241" s="101"/>
      <c r="AL241" s="101"/>
      <c r="AM241" s="104">
        <f t="shared" si="89"/>
        <v>-131946.52276347094</v>
      </c>
      <c r="AN241" s="104"/>
      <c r="AO241" s="104"/>
      <c r="AP241" s="104"/>
      <c r="AQ241" s="104">
        <f t="shared" si="88"/>
        <v>-131946.52276347094</v>
      </c>
      <c r="AR241" s="104"/>
      <c r="AS241" s="104">
        <f t="shared" si="102"/>
        <v>-131946.52276347094</v>
      </c>
      <c r="AT241" s="104">
        <f t="shared" si="103"/>
        <v>0</v>
      </c>
      <c r="AU241" s="105">
        <f>AD241/K241/M241/8*P241</f>
        <v>-2837559.6293219561</v>
      </c>
      <c r="AV241" s="106"/>
      <c r="AW241" s="106"/>
      <c r="AX241" s="107"/>
      <c r="AY241" s="107"/>
      <c r="AZ241" s="107"/>
      <c r="BA241" s="107"/>
      <c r="BB241" s="108">
        <f t="shared" si="90"/>
        <v>-2837559.6293219561</v>
      </c>
      <c r="BC241" s="108">
        <f>AM241/K241/M241/7*P241</f>
        <v>-3242925.2906536642</v>
      </c>
      <c r="BD241" s="109"/>
      <c r="BE241" s="109"/>
      <c r="BF241" s="109"/>
      <c r="BG241" s="110">
        <f>AQ241/K241/M241/6*P241</f>
        <v>-3783412.8390959408</v>
      </c>
      <c r="BH241" s="110"/>
      <c r="BI241" s="110"/>
      <c r="BJ241" s="123">
        <f t="shared" si="105"/>
        <v>-5864289.9005987085</v>
      </c>
      <c r="BK241" s="116"/>
      <c r="BL241" s="79"/>
      <c r="BM241" s="111"/>
    </row>
    <row r="242" spans="1:67" s="170" customFormat="1" ht="25.5" hidden="1">
      <c r="A242" s="150"/>
      <c r="B242" s="151" t="s">
        <v>386</v>
      </c>
      <c r="C242" s="152" t="s">
        <v>387</v>
      </c>
      <c r="D242" s="153"/>
      <c r="E242" s="127" t="s">
        <v>65</v>
      </c>
      <c r="F242" s="153"/>
      <c r="G242" s="153"/>
      <c r="H242" s="155"/>
      <c r="I242" s="155"/>
      <c r="J242" s="156"/>
      <c r="K242" s="157"/>
      <c r="L242" s="63">
        <v>7.4999999999999997E-2</v>
      </c>
      <c r="M242" s="93">
        <v>0.9</v>
      </c>
      <c r="N242" s="94">
        <v>9</v>
      </c>
      <c r="O242" s="94">
        <v>4</v>
      </c>
      <c r="P242" s="93">
        <v>12</v>
      </c>
      <c r="Q242" s="158"/>
      <c r="R242" s="158"/>
      <c r="S242" s="158"/>
      <c r="T242" s="158"/>
      <c r="U242" s="159"/>
      <c r="V242" s="192"/>
      <c r="W242" s="193"/>
      <c r="X242" s="158"/>
      <c r="Y242" s="158"/>
      <c r="Z242" s="161"/>
      <c r="AA242" s="161"/>
      <c r="AB242" s="161"/>
      <c r="AC242" s="161"/>
      <c r="AD242" s="161"/>
      <c r="AE242" s="163"/>
      <c r="AF242" s="163"/>
      <c r="AG242" s="163"/>
      <c r="AH242" s="102"/>
      <c r="AI242" s="102"/>
      <c r="AJ242" s="102"/>
      <c r="AK242" s="102"/>
      <c r="AL242" s="102"/>
      <c r="AM242" s="70"/>
      <c r="AN242" s="70"/>
      <c r="AO242" s="70"/>
      <c r="AP242" s="70"/>
      <c r="AQ242" s="70"/>
      <c r="AR242" s="70"/>
      <c r="AS242" s="69">
        <f t="shared" si="102"/>
        <v>0</v>
      </c>
      <c r="AT242" s="69">
        <f t="shared" si="103"/>
        <v>0</v>
      </c>
      <c r="AU242" s="164"/>
      <c r="AV242" s="165"/>
      <c r="AW242" s="165"/>
      <c r="AX242" s="166"/>
      <c r="AY242" s="166"/>
      <c r="AZ242" s="166"/>
      <c r="BA242" s="166"/>
      <c r="BB242" s="137"/>
      <c r="BC242" s="137"/>
      <c r="BD242" s="167"/>
      <c r="BE242" s="167"/>
      <c r="BF242" s="167"/>
      <c r="BG242" s="168"/>
      <c r="BH242" s="168"/>
      <c r="BI242" s="78">
        <f t="shared" si="104"/>
        <v>0</v>
      </c>
      <c r="BJ242" s="79">
        <f t="shared" si="105"/>
        <v>0</v>
      </c>
      <c r="BK242" s="79"/>
      <c r="BL242" s="169">
        <v>3000000</v>
      </c>
      <c r="BM242" s="186" t="s">
        <v>72</v>
      </c>
      <c r="BN242" s="170" t="s">
        <v>73</v>
      </c>
    </row>
    <row r="243" spans="1:67" s="112" customFormat="1" ht="25.5">
      <c r="A243" s="84">
        <f>A241+1</f>
        <v>181</v>
      </c>
      <c r="B243" s="85" t="s">
        <v>388</v>
      </c>
      <c r="C243" s="86" t="s">
        <v>389</v>
      </c>
      <c r="D243" s="85" t="s">
        <v>64</v>
      </c>
      <c r="E243" s="87" t="s">
        <v>98</v>
      </c>
      <c r="F243" s="89"/>
      <c r="G243" s="89"/>
      <c r="H243" s="90">
        <v>43497</v>
      </c>
      <c r="I243" s="90">
        <v>43497</v>
      </c>
      <c r="J243" s="91">
        <v>15000000</v>
      </c>
      <c r="K243" s="92">
        <v>7.7499999999999999E-2</v>
      </c>
      <c r="L243" s="63">
        <v>7.4999999999999997E-2</v>
      </c>
      <c r="M243" s="93">
        <v>0.9</v>
      </c>
      <c r="N243" s="94">
        <v>10</v>
      </c>
      <c r="O243" s="94"/>
      <c r="P243" s="93">
        <v>12</v>
      </c>
      <c r="Q243" s="95">
        <f>J243*K243*M243*N243/P243</f>
        <v>871875</v>
      </c>
      <c r="R243" s="94">
        <f t="shared" si="93"/>
        <v>9099840.9884747844</v>
      </c>
      <c r="S243" s="95">
        <f>R243*K243*M243*N243/P243</f>
        <v>528928.25745509693</v>
      </c>
      <c r="T243" s="95">
        <f t="shared" si="94"/>
        <v>342946.74254490307</v>
      </c>
      <c r="U243" s="96">
        <v>0.606656065898319</v>
      </c>
      <c r="V243" s="254">
        <v>15000000</v>
      </c>
      <c r="W243" s="122">
        <v>871875</v>
      </c>
      <c r="X243" s="95">
        <f t="shared" si="91"/>
        <v>-5900159.0115252156</v>
      </c>
      <c r="Y243" s="95">
        <f t="shared" si="91"/>
        <v>-342946.74254490307</v>
      </c>
      <c r="Z243" s="98">
        <f t="shared" si="92"/>
        <v>-5900159.0115252156</v>
      </c>
      <c r="AA243" s="98">
        <f t="shared" si="92"/>
        <v>-342946.74254490307</v>
      </c>
      <c r="AB243" s="98"/>
      <c r="AC243" s="98"/>
      <c r="AD243" s="98">
        <f t="shared" si="101"/>
        <v>-342946.74254490307</v>
      </c>
      <c r="AE243" s="100">
        <v>-5900159.0115252137</v>
      </c>
      <c r="AF243" s="100">
        <f>AD243/K243/M243/9*P243</f>
        <v>-6555732.2350280145</v>
      </c>
      <c r="AG243" s="100"/>
      <c r="AH243" s="101"/>
      <c r="AI243" s="101"/>
      <c r="AJ243" s="101"/>
      <c r="AK243" s="101"/>
      <c r="AL243" s="101"/>
      <c r="AM243" s="104">
        <f t="shared" si="89"/>
        <v>-342946.74254490307</v>
      </c>
      <c r="AN243" s="104"/>
      <c r="AO243" s="104"/>
      <c r="AP243" s="104"/>
      <c r="AQ243" s="104">
        <f t="shared" si="88"/>
        <v>-342946.74254490307</v>
      </c>
      <c r="AR243" s="104"/>
      <c r="AS243" s="104">
        <f t="shared" si="102"/>
        <v>-342946.74254490307</v>
      </c>
      <c r="AT243" s="104">
        <f t="shared" si="103"/>
        <v>0</v>
      </c>
      <c r="AU243" s="105">
        <f>AD243/K243/M243/8*P243</f>
        <v>-7375198.7644065171</v>
      </c>
      <c r="AV243" s="106"/>
      <c r="AW243" s="106"/>
      <c r="AX243" s="107"/>
      <c r="AY243" s="107"/>
      <c r="AZ243" s="107"/>
      <c r="BA243" s="107"/>
      <c r="BB243" s="108">
        <f t="shared" si="90"/>
        <v>-7375198.7644065171</v>
      </c>
      <c r="BC243" s="108">
        <f>AM243/K243/M243/7*P243</f>
        <v>-8428798.5878931619</v>
      </c>
      <c r="BD243" s="109"/>
      <c r="BE243" s="109"/>
      <c r="BF243" s="109"/>
      <c r="BG243" s="110">
        <f>AQ243/K243/M243/6*P243</f>
        <v>-9833598.3525420222</v>
      </c>
      <c r="BH243" s="110"/>
      <c r="BI243" s="110"/>
      <c r="BJ243" s="123">
        <f t="shared" si="105"/>
        <v>-15242077.446440138</v>
      </c>
      <c r="BK243" s="116"/>
      <c r="BL243" s="79"/>
      <c r="BM243" s="111"/>
    </row>
    <row r="244" spans="1:67" s="170" customFormat="1" ht="25.5" hidden="1">
      <c r="A244" s="150"/>
      <c r="B244" s="151" t="s">
        <v>388</v>
      </c>
      <c r="C244" s="152" t="s">
        <v>389</v>
      </c>
      <c r="D244" s="153" t="s">
        <v>64</v>
      </c>
      <c r="E244" s="127" t="s">
        <v>98</v>
      </c>
      <c r="F244" s="153"/>
      <c r="G244" s="153"/>
      <c r="H244" s="155"/>
      <c r="I244" s="155"/>
      <c r="J244" s="156"/>
      <c r="K244" s="157"/>
      <c r="L244" s="63">
        <v>7.4999999999999997E-2</v>
      </c>
      <c r="M244" s="64">
        <v>0.9</v>
      </c>
      <c r="N244" s="65">
        <v>9</v>
      </c>
      <c r="O244" s="65">
        <v>4</v>
      </c>
      <c r="P244" s="64">
        <v>12</v>
      </c>
      <c r="Q244" s="158"/>
      <c r="R244" s="158"/>
      <c r="S244" s="158"/>
      <c r="T244" s="158"/>
      <c r="U244" s="159"/>
      <c r="V244" s="192"/>
      <c r="W244" s="193"/>
      <c r="X244" s="158"/>
      <c r="Y244" s="158"/>
      <c r="Z244" s="161"/>
      <c r="AA244" s="161"/>
      <c r="AB244" s="161"/>
      <c r="AC244" s="161"/>
      <c r="AD244" s="161"/>
      <c r="AE244" s="163"/>
      <c r="AF244" s="163"/>
      <c r="AG244" s="163"/>
      <c r="AH244" s="102"/>
      <c r="AI244" s="102"/>
      <c r="AJ244" s="102"/>
      <c r="AK244" s="102"/>
      <c r="AL244" s="102"/>
      <c r="AM244" s="70"/>
      <c r="AN244" s="70"/>
      <c r="AO244" s="70"/>
      <c r="AP244" s="70"/>
      <c r="AQ244" s="70"/>
      <c r="AR244" s="70"/>
      <c r="AS244" s="69">
        <f t="shared" si="102"/>
        <v>0</v>
      </c>
      <c r="AT244" s="69">
        <f t="shared" si="103"/>
        <v>0</v>
      </c>
      <c r="AU244" s="164"/>
      <c r="AV244" s="165"/>
      <c r="AW244" s="165"/>
      <c r="AX244" s="166"/>
      <c r="AY244" s="166"/>
      <c r="AZ244" s="166"/>
      <c r="BA244" s="166"/>
      <c r="BB244" s="137"/>
      <c r="BC244" s="137"/>
      <c r="BD244" s="167"/>
      <c r="BE244" s="167"/>
      <c r="BF244" s="167"/>
      <c r="BG244" s="168"/>
      <c r="BH244" s="168"/>
      <c r="BI244" s="78">
        <f t="shared" si="104"/>
        <v>0</v>
      </c>
      <c r="BJ244" s="79">
        <f t="shared" si="105"/>
        <v>0</v>
      </c>
      <c r="BK244" s="79"/>
      <c r="BL244" s="169">
        <v>15000000</v>
      </c>
      <c r="BM244" s="186" t="s">
        <v>72</v>
      </c>
      <c r="BN244" s="170" t="s">
        <v>186</v>
      </c>
    </row>
    <row r="245" spans="1:67" s="170" customFormat="1" ht="25.5" hidden="1">
      <c r="A245" s="150"/>
      <c r="B245" s="151" t="s">
        <v>388</v>
      </c>
      <c r="C245" s="152" t="s">
        <v>389</v>
      </c>
      <c r="D245" s="153" t="s">
        <v>64</v>
      </c>
      <c r="E245" s="127" t="s">
        <v>98</v>
      </c>
      <c r="F245" s="153"/>
      <c r="G245" s="153"/>
      <c r="H245" s="155"/>
      <c r="I245" s="155"/>
      <c r="J245" s="156"/>
      <c r="K245" s="157"/>
      <c r="L245" s="63">
        <v>7.4999999999999997E-2</v>
      </c>
      <c r="M245" s="64">
        <v>0.9</v>
      </c>
      <c r="N245" s="65">
        <v>9</v>
      </c>
      <c r="O245" s="65">
        <v>4</v>
      </c>
      <c r="P245" s="64">
        <v>12</v>
      </c>
      <c r="Q245" s="158"/>
      <c r="R245" s="158"/>
      <c r="S245" s="158"/>
      <c r="T245" s="158"/>
      <c r="U245" s="159"/>
      <c r="V245" s="192"/>
      <c r="W245" s="193"/>
      <c r="X245" s="158"/>
      <c r="Y245" s="158"/>
      <c r="Z245" s="161"/>
      <c r="AA245" s="161"/>
      <c r="AB245" s="161"/>
      <c r="AC245" s="161"/>
      <c r="AD245" s="161"/>
      <c r="AE245" s="163"/>
      <c r="AF245" s="163"/>
      <c r="AG245" s="163"/>
      <c r="AH245" s="102"/>
      <c r="AI245" s="102"/>
      <c r="AJ245" s="102"/>
      <c r="AK245" s="102"/>
      <c r="AL245" s="102"/>
      <c r="AM245" s="70"/>
      <c r="AN245" s="70"/>
      <c r="AO245" s="70"/>
      <c r="AP245" s="70"/>
      <c r="AQ245" s="70"/>
      <c r="AR245" s="70"/>
      <c r="AS245" s="69">
        <f t="shared" si="102"/>
        <v>0</v>
      </c>
      <c r="AT245" s="69">
        <f t="shared" si="103"/>
        <v>0</v>
      </c>
      <c r="AU245" s="164"/>
      <c r="AV245" s="165"/>
      <c r="AW245" s="165"/>
      <c r="AX245" s="166"/>
      <c r="AY245" s="166"/>
      <c r="AZ245" s="166"/>
      <c r="BA245" s="166"/>
      <c r="BB245" s="137"/>
      <c r="BC245" s="137"/>
      <c r="BD245" s="167"/>
      <c r="BE245" s="167"/>
      <c r="BF245" s="167"/>
      <c r="BG245" s="168"/>
      <c r="BH245" s="168"/>
      <c r="BI245" s="78">
        <f t="shared" si="104"/>
        <v>0</v>
      </c>
      <c r="BJ245" s="79">
        <f t="shared" si="105"/>
        <v>0</v>
      </c>
      <c r="BK245" s="79"/>
      <c r="BL245" s="169">
        <v>7000000</v>
      </c>
      <c r="BM245" s="186" t="s">
        <v>72</v>
      </c>
      <c r="BN245" s="170" t="s">
        <v>186</v>
      </c>
    </row>
    <row r="246" spans="1:67" s="170" customFormat="1" hidden="1">
      <c r="A246" s="150"/>
      <c r="B246" s="151" t="s">
        <v>388</v>
      </c>
      <c r="C246" s="152" t="s">
        <v>389</v>
      </c>
      <c r="D246" s="153"/>
      <c r="E246" s="127" t="s">
        <v>98</v>
      </c>
      <c r="F246" s="153"/>
      <c r="G246" s="153"/>
      <c r="H246" s="155"/>
      <c r="I246" s="155"/>
      <c r="J246" s="156"/>
      <c r="K246" s="157"/>
      <c r="L246" s="63">
        <v>7.4999999999999997E-2</v>
      </c>
      <c r="M246" s="64">
        <v>0.9</v>
      </c>
      <c r="N246" s="65">
        <v>9</v>
      </c>
      <c r="O246" s="65">
        <v>4</v>
      </c>
      <c r="P246" s="64">
        <v>12</v>
      </c>
      <c r="Q246" s="158"/>
      <c r="R246" s="158"/>
      <c r="S246" s="158"/>
      <c r="T246" s="158"/>
      <c r="U246" s="159"/>
      <c r="V246" s="192"/>
      <c r="W246" s="193"/>
      <c r="X246" s="158"/>
      <c r="Y246" s="158"/>
      <c r="Z246" s="161"/>
      <c r="AA246" s="161"/>
      <c r="AB246" s="161"/>
      <c r="AC246" s="161"/>
      <c r="AD246" s="161"/>
      <c r="AE246" s="163"/>
      <c r="AF246" s="163"/>
      <c r="AG246" s="163"/>
      <c r="AH246" s="102"/>
      <c r="AI246" s="102"/>
      <c r="AJ246" s="102"/>
      <c r="AK246" s="102"/>
      <c r="AL246" s="102"/>
      <c r="AM246" s="70"/>
      <c r="AN246" s="70"/>
      <c r="AO246" s="70"/>
      <c r="AP246" s="70"/>
      <c r="AQ246" s="70"/>
      <c r="AR246" s="70"/>
      <c r="AS246" s="69">
        <f t="shared" si="102"/>
        <v>0</v>
      </c>
      <c r="AT246" s="69">
        <f t="shared" si="103"/>
        <v>0</v>
      </c>
      <c r="AU246" s="164"/>
      <c r="AV246" s="165"/>
      <c r="AW246" s="165"/>
      <c r="AX246" s="166"/>
      <c r="AY246" s="166"/>
      <c r="AZ246" s="166"/>
      <c r="BA246" s="166"/>
      <c r="BB246" s="137"/>
      <c r="BC246" s="137"/>
      <c r="BD246" s="167"/>
      <c r="BE246" s="167"/>
      <c r="BF246" s="167"/>
      <c r="BG246" s="168"/>
      <c r="BH246" s="168"/>
      <c r="BI246" s="78">
        <f t="shared" si="104"/>
        <v>0</v>
      </c>
      <c r="BJ246" s="79">
        <f t="shared" si="105"/>
        <v>0</v>
      </c>
      <c r="BK246" s="79"/>
      <c r="BL246" s="169">
        <v>3000000</v>
      </c>
      <c r="BM246" s="186" t="s">
        <v>72</v>
      </c>
      <c r="BN246" s="334" t="s">
        <v>111</v>
      </c>
    </row>
    <row r="247" spans="1:67" s="112" customFormat="1" ht="25.5">
      <c r="A247" s="84">
        <f>A243+1</f>
        <v>182</v>
      </c>
      <c r="B247" s="85" t="s">
        <v>390</v>
      </c>
      <c r="C247" s="86" t="s">
        <v>391</v>
      </c>
      <c r="D247" s="85" t="s">
        <v>64</v>
      </c>
      <c r="E247" s="87" t="s">
        <v>65</v>
      </c>
      <c r="F247" s="89"/>
      <c r="G247" s="89"/>
      <c r="H247" s="90">
        <v>43497</v>
      </c>
      <c r="I247" s="90">
        <v>43497</v>
      </c>
      <c r="J247" s="91">
        <v>7000000</v>
      </c>
      <c r="K247" s="92">
        <v>7.7499999999999999E-2</v>
      </c>
      <c r="L247" s="63">
        <v>7.4999999999999997E-2</v>
      </c>
      <c r="M247" s="93">
        <v>0.9</v>
      </c>
      <c r="N247" s="94">
        <v>10</v>
      </c>
      <c r="O247" s="94"/>
      <c r="P247" s="93">
        <v>12</v>
      </c>
      <c r="Q247" s="95">
        <f>J247*K247*M247*N247/P247</f>
        <v>406875</v>
      </c>
      <c r="R247" s="94">
        <f t="shared" si="93"/>
        <v>4246592.4612882333</v>
      </c>
      <c r="S247" s="95">
        <f>R247*K247*M247*N247/P247</f>
        <v>246833.18681237855</v>
      </c>
      <c r="T247" s="95">
        <f t="shared" si="94"/>
        <v>160041.81318762145</v>
      </c>
      <c r="U247" s="96">
        <v>0.606656065898319</v>
      </c>
      <c r="V247" s="94"/>
      <c r="W247" s="97"/>
      <c r="X247" s="95">
        <f t="shared" si="91"/>
        <v>4246592.4612882333</v>
      </c>
      <c r="Y247" s="95">
        <f t="shared" si="91"/>
        <v>246833.18681237855</v>
      </c>
      <c r="Z247" s="98">
        <f t="shared" si="92"/>
        <v>4246592.4612882333</v>
      </c>
      <c r="AA247" s="98">
        <f t="shared" si="92"/>
        <v>246833.18681237855</v>
      </c>
      <c r="AB247" s="98">
        <f>352586.25-AB248</f>
        <v>246833.19</v>
      </c>
      <c r="AC247" s="98"/>
      <c r="AD247" s="98">
        <f t="shared" si="101"/>
        <v>-3.1876214488875121E-3</v>
      </c>
      <c r="AE247" s="100">
        <v>560.65898318961263</v>
      </c>
      <c r="AF247" s="100">
        <f>AD247/K247/M247/9*P247</f>
        <v>-6.0934221245161527E-2</v>
      </c>
      <c r="AG247" s="100"/>
      <c r="AH247" s="101"/>
      <c r="AI247" s="101"/>
      <c r="AJ247" s="101"/>
      <c r="AK247" s="101"/>
      <c r="AL247" s="101"/>
      <c r="AM247" s="104">
        <f t="shared" si="89"/>
        <v>-3.1876214488875121E-3</v>
      </c>
      <c r="AN247" s="104"/>
      <c r="AO247" s="104"/>
      <c r="AP247" s="104"/>
      <c r="AQ247" s="104">
        <f t="shared" si="88"/>
        <v>-3.1876214488875121E-3</v>
      </c>
      <c r="AR247" s="104"/>
      <c r="AS247" s="104">
        <f t="shared" si="102"/>
        <v>-3.1876214488875121E-3</v>
      </c>
      <c r="AT247" s="104">
        <f t="shared" si="103"/>
        <v>0</v>
      </c>
      <c r="AU247" s="105">
        <f>AD247/K247/M247/8*P247</f>
        <v>-6.8550998900806709E-2</v>
      </c>
      <c r="AV247" s="106"/>
      <c r="AW247" s="106"/>
      <c r="AX247" s="107"/>
      <c r="AY247" s="107"/>
      <c r="AZ247" s="107"/>
      <c r="BA247" s="107"/>
      <c r="BB247" s="108">
        <f t="shared" si="90"/>
        <v>-6.8550998900806709E-2</v>
      </c>
      <c r="BC247" s="108">
        <f>AM247/K247/M247/7*P247</f>
        <v>-7.8343998743779092E-2</v>
      </c>
      <c r="BD247" s="109"/>
      <c r="BE247" s="109"/>
      <c r="BF247" s="109"/>
      <c r="BG247" s="110">
        <f>AQ247/K247/M247/6*P247</f>
        <v>-9.1401331867742283E-2</v>
      </c>
      <c r="BH247" s="110"/>
      <c r="BI247" s="110">
        <f t="shared" si="104"/>
        <v>-3.1876214488875121E-3</v>
      </c>
      <c r="BJ247" s="123">
        <f t="shared" si="105"/>
        <v>-0.14167206439500052</v>
      </c>
      <c r="BK247" s="116"/>
      <c r="BL247" s="79"/>
      <c r="BM247" s="111"/>
    </row>
    <row r="248" spans="1:67" s="112" customFormat="1" ht="25.5">
      <c r="A248" s="84">
        <f t="shared" si="112"/>
        <v>183</v>
      </c>
      <c r="B248" s="85" t="s">
        <v>390</v>
      </c>
      <c r="C248" s="86" t="s">
        <v>391</v>
      </c>
      <c r="D248" s="85" t="s">
        <v>64</v>
      </c>
      <c r="E248" s="87" t="s">
        <v>65</v>
      </c>
      <c r="F248" s="89"/>
      <c r="G248" s="89"/>
      <c r="H248" s="90">
        <v>43497</v>
      </c>
      <c r="I248" s="90">
        <v>43497</v>
      </c>
      <c r="J248" s="91">
        <v>3000000</v>
      </c>
      <c r="K248" s="92">
        <v>7.7499999999999999E-2</v>
      </c>
      <c r="L248" s="63">
        <v>7.4999999999999997E-2</v>
      </c>
      <c r="M248" s="93">
        <v>0.9</v>
      </c>
      <c r="N248" s="94">
        <v>10</v>
      </c>
      <c r="O248" s="94"/>
      <c r="P248" s="93">
        <v>12</v>
      </c>
      <c r="Q248" s="95">
        <f>J248*K248*M248*N248/P248</f>
        <v>174375</v>
      </c>
      <c r="R248" s="94">
        <f t="shared" si="93"/>
        <v>1819968.197694957</v>
      </c>
      <c r="S248" s="95">
        <f>R248*K248*M248*N248/P248</f>
        <v>105785.65149101937</v>
      </c>
      <c r="T248" s="95">
        <f t="shared" si="94"/>
        <v>68589.348508980635</v>
      </c>
      <c r="U248" s="96">
        <v>0.606656065898319</v>
      </c>
      <c r="V248" s="94"/>
      <c r="W248" s="97"/>
      <c r="X248" s="95">
        <f t="shared" si="91"/>
        <v>1819968.197694957</v>
      </c>
      <c r="Y248" s="95">
        <f t="shared" si="91"/>
        <v>105785.65149101937</v>
      </c>
      <c r="Z248" s="98">
        <f t="shared" si="92"/>
        <v>1819968.197694957</v>
      </c>
      <c r="AA248" s="98">
        <f t="shared" si="92"/>
        <v>105785.65149101937</v>
      </c>
      <c r="AB248" s="98">
        <v>105753.06</v>
      </c>
      <c r="AC248" s="98"/>
      <c r="AD248" s="98">
        <f t="shared" si="101"/>
        <v>32.591491019367822</v>
      </c>
      <c r="AE248" s="100">
        <v>0</v>
      </c>
      <c r="AF248" s="100">
        <f>AD248/K248/M248/9*P248</f>
        <v>623.01535998791542</v>
      </c>
      <c r="AG248" s="100"/>
      <c r="AH248" s="101"/>
      <c r="AI248" s="101"/>
      <c r="AJ248" s="101"/>
      <c r="AK248" s="101"/>
      <c r="AL248" s="101"/>
      <c r="AM248" s="104">
        <f t="shared" si="89"/>
        <v>32.591491019367822</v>
      </c>
      <c r="AN248" s="104"/>
      <c r="AO248" s="104"/>
      <c r="AP248" s="104"/>
      <c r="AQ248" s="104">
        <f t="shared" si="88"/>
        <v>32.591491019367822</v>
      </c>
      <c r="AR248" s="104"/>
      <c r="AS248" s="104">
        <f t="shared" si="102"/>
        <v>32.591491019367822</v>
      </c>
      <c r="AT248" s="104">
        <f t="shared" si="103"/>
        <v>0</v>
      </c>
      <c r="AU248" s="181">
        <f>AD248/K248/M248/8*P248</f>
        <v>700.89227998640479</v>
      </c>
      <c r="AV248" s="106"/>
      <c r="AW248" s="106"/>
      <c r="AX248" s="107"/>
      <c r="AY248" s="107"/>
      <c r="AZ248" s="107"/>
      <c r="BA248" s="107"/>
      <c r="BB248" s="108">
        <f t="shared" si="90"/>
        <v>700.89227998640479</v>
      </c>
      <c r="BC248" s="108">
        <f>AM248/K248/M248/7*P248</f>
        <v>801.01974855589128</v>
      </c>
      <c r="BD248" s="109"/>
      <c r="BE248" s="109"/>
      <c r="BF248" s="109"/>
      <c r="BG248" s="110">
        <f>AQ248/K248/M248/6*P248</f>
        <v>934.5230399818729</v>
      </c>
      <c r="BH248" s="110"/>
      <c r="BI248" s="110">
        <f t="shared" si="104"/>
        <v>32.591491019367822</v>
      </c>
      <c r="BJ248" s="116">
        <f t="shared" si="105"/>
        <v>1448.5107119719032</v>
      </c>
      <c r="BK248" s="116"/>
      <c r="BL248" s="79"/>
      <c r="BM248" s="111"/>
    </row>
    <row r="249" spans="1:67" s="170" customFormat="1" ht="25.5" hidden="1">
      <c r="A249" s="150"/>
      <c r="B249" s="151" t="s">
        <v>390</v>
      </c>
      <c r="C249" s="152" t="s">
        <v>391</v>
      </c>
      <c r="D249" s="153"/>
      <c r="E249" s="127" t="s">
        <v>65</v>
      </c>
      <c r="F249" s="153"/>
      <c r="G249" s="153"/>
      <c r="H249" s="155"/>
      <c r="I249" s="155"/>
      <c r="J249" s="156"/>
      <c r="K249" s="157"/>
      <c r="L249" s="63">
        <v>7.4999999999999997E-2</v>
      </c>
      <c r="M249" s="64">
        <v>0.9</v>
      </c>
      <c r="N249" s="65">
        <v>9</v>
      </c>
      <c r="O249" s="65">
        <v>4</v>
      </c>
      <c r="P249" s="64">
        <v>12</v>
      </c>
      <c r="Q249" s="158"/>
      <c r="R249" s="158"/>
      <c r="S249" s="158"/>
      <c r="T249" s="158"/>
      <c r="U249" s="159"/>
      <c r="V249" s="158"/>
      <c r="W249" s="160"/>
      <c r="X249" s="158"/>
      <c r="Y249" s="158"/>
      <c r="Z249" s="161"/>
      <c r="AA249" s="161"/>
      <c r="AB249" s="161"/>
      <c r="AC249" s="161"/>
      <c r="AD249" s="161"/>
      <c r="AE249" s="163"/>
      <c r="AF249" s="163"/>
      <c r="AG249" s="163"/>
      <c r="AH249" s="102"/>
      <c r="AI249" s="102"/>
      <c r="AJ249" s="102"/>
      <c r="AK249" s="102"/>
      <c r="AL249" s="102"/>
      <c r="AM249" s="70"/>
      <c r="AN249" s="70"/>
      <c r="AO249" s="70"/>
      <c r="AP249" s="70"/>
      <c r="AQ249" s="70"/>
      <c r="AR249" s="70"/>
      <c r="AS249" s="69">
        <f t="shared" si="102"/>
        <v>0</v>
      </c>
      <c r="AT249" s="69">
        <f t="shared" si="103"/>
        <v>0</v>
      </c>
      <c r="AU249" s="136"/>
      <c r="AV249" s="165"/>
      <c r="AW249" s="165"/>
      <c r="AX249" s="166"/>
      <c r="AY249" s="166"/>
      <c r="AZ249" s="166"/>
      <c r="BA249" s="166"/>
      <c r="BB249" s="137"/>
      <c r="BC249" s="137"/>
      <c r="BD249" s="167"/>
      <c r="BE249" s="167"/>
      <c r="BF249" s="167"/>
      <c r="BG249" s="168"/>
      <c r="BH249" s="168"/>
      <c r="BI249" s="78">
        <f t="shared" si="104"/>
        <v>0</v>
      </c>
      <c r="BJ249" s="79">
        <f t="shared" si="105"/>
        <v>0</v>
      </c>
      <c r="BK249" s="79"/>
      <c r="BL249" s="169">
        <v>5000000</v>
      </c>
      <c r="BM249" s="186" t="s">
        <v>72</v>
      </c>
      <c r="BN249" s="170" t="s">
        <v>73</v>
      </c>
    </row>
    <row r="250" spans="1:67" s="185" customFormat="1" ht="76.5">
      <c r="A250" s="171">
        <f>A248+1</f>
        <v>184</v>
      </c>
      <c r="B250" s="87" t="s">
        <v>392</v>
      </c>
      <c r="C250" s="172" t="s">
        <v>393</v>
      </c>
      <c r="D250" s="87" t="s">
        <v>64</v>
      </c>
      <c r="E250" s="87" t="s">
        <v>65</v>
      </c>
      <c r="F250" s="87"/>
      <c r="G250" s="87"/>
      <c r="H250" s="174">
        <v>43497</v>
      </c>
      <c r="I250" s="90" t="s">
        <v>128</v>
      </c>
      <c r="J250" s="175">
        <v>400000</v>
      </c>
      <c r="K250" s="121">
        <v>7.7499999999999999E-2</v>
      </c>
      <c r="L250" s="63">
        <v>7.4999999999999997E-2</v>
      </c>
      <c r="M250" s="64">
        <v>0.9</v>
      </c>
      <c r="N250" s="65">
        <v>10</v>
      </c>
      <c r="O250" s="65">
        <v>4</v>
      </c>
      <c r="P250" s="64">
        <v>12</v>
      </c>
      <c r="Q250" s="177">
        <f t="shared" ref="Q250:Q257" si="113">J250*K250*M250*N250/P250</f>
        <v>23250</v>
      </c>
      <c r="R250" s="177">
        <f t="shared" si="93"/>
        <v>242662.4263593276</v>
      </c>
      <c r="S250" s="177">
        <f t="shared" ref="S250:S257" si="114">R250*K250*M250*N250/P250</f>
        <v>14104.753532135917</v>
      </c>
      <c r="T250" s="177">
        <f t="shared" si="94"/>
        <v>9145.2464678640827</v>
      </c>
      <c r="U250" s="178">
        <v>0.606656065898319</v>
      </c>
      <c r="V250" s="177"/>
      <c r="W250" s="176"/>
      <c r="X250" s="177">
        <f t="shared" si="91"/>
        <v>242662.4263593276</v>
      </c>
      <c r="Y250" s="177">
        <f t="shared" si="91"/>
        <v>14104.753532135917</v>
      </c>
      <c r="Z250" s="179">
        <f t="shared" si="92"/>
        <v>242662.4263593276</v>
      </c>
      <c r="AA250" s="179">
        <f t="shared" si="92"/>
        <v>14104.753532135917</v>
      </c>
      <c r="AB250" s="179"/>
      <c r="AC250" s="179"/>
      <c r="AD250" s="179">
        <f t="shared" si="101"/>
        <v>14104.753532135917</v>
      </c>
      <c r="AE250" s="180">
        <v>242662.42635932763</v>
      </c>
      <c r="AF250" s="180">
        <f t="shared" ref="AF250:AF257" si="115">AD250/K250/M250/9*P250</f>
        <v>269624.91817703069</v>
      </c>
      <c r="AG250" s="180"/>
      <c r="AH250" s="101">
        <v>-14104.75</v>
      </c>
      <c r="AI250" s="104"/>
      <c r="AJ250" s="104"/>
      <c r="AK250" s="104"/>
      <c r="AL250" s="104"/>
      <c r="AM250" s="104">
        <f t="shared" si="89"/>
        <v>3.532135917339474E-3</v>
      </c>
      <c r="AN250" s="104"/>
      <c r="AO250" s="104"/>
      <c r="AP250" s="104"/>
      <c r="AQ250" s="104">
        <f t="shared" si="88"/>
        <v>3.532135917339474E-3</v>
      </c>
      <c r="AR250" s="104"/>
      <c r="AS250" s="69">
        <f t="shared" si="102"/>
        <v>3.532135917339474E-3</v>
      </c>
      <c r="AT250" s="104">
        <f t="shared" si="103"/>
        <v>0</v>
      </c>
      <c r="AU250" s="181">
        <f t="shared" ref="AU250:AU257" si="116">AD250/K250/M250/8*P250</f>
        <v>303328.0329491595</v>
      </c>
      <c r="AV250" s="181"/>
      <c r="AW250" s="106">
        <v>-303328.03000000003</v>
      </c>
      <c r="AX250" s="182"/>
      <c r="AY250" s="182"/>
      <c r="AZ250" s="182"/>
      <c r="BA250" s="182"/>
      <c r="BB250" s="108">
        <f t="shared" si="90"/>
        <v>2.9491594759747386E-3</v>
      </c>
      <c r="BC250" s="108">
        <f t="shared" ref="BC250:BC257" si="117">AM250/K250/M250/7*P250</f>
        <v>8.6811328229541601E-2</v>
      </c>
      <c r="BD250" s="183"/>
      <c r="BE250" s="183"/>
      <c r="BF250" s="183"/>
      <c r="BG250" s="110">
        <f t="shared" ref="BG250:BG257" si="118">AQ250/K250/M250/6*P250</f>
        <v>0.10127988293446522</v>
      </c>
      <c r="BH250" s="110"/>
      <c r="BI250" s="110">
        <f t="shared" si="104"/>
        <v>3.532135917339474E-3</v>
      </c>
      <c r="BJ250" s="116">
        <f t="shared" si="105"/>
        <v>0.15698381854842108</v>
      </c>
      <c r="BK250" s="116"/>
      <c r="BL250" s="79"/>
      <c r="BM250" s="184"/>
    </row>
    <row r="251" spans="1:67" s="185" customFormat="1" ht="76.5">
      <c r="A251" s="171">
        <f t="shared" si="112"/>
        <v>185</v>
      </c>
      <c r="B251" s="87" t="s">
        <v>394</v>
      </c>
      <c r="C251" s="172" t="s">
        <v>395</v>
      </c>
      <c r="D251" s="87" t="s">
        <v>64</v>
      </c>
      <c r="E251" s="87" t="s">
        <v>65</v>
      </c>
      <c r="F251" s="87"/>
      <c r="G251" s="87"/>
      <c r="H251" s="174">
        <v>43556</v>
      </c>
      <c r="I251" s="90" t="s">
        <v>128</v>
      </c>
      <c r="J251" s="175">
        <v>1000000</v>
      </c>
      <c r="K251" s="121">
        <v>7.7499999999999999E-2</v>
      </c>
      <c r="L251" s="63">
        <v>7.4999999999999997E-2</v>
      </c>
      <c r="M251" s="176">
        <v>0.9</v>
      </c>
      <c r="N251" s="177">
        <v>8</v>
      </c>
      <c r="O251" s="177"/>
      <c r="P251" s="176">
        <v>12</v>
      </c>
      <c r="Q251" s="177">
        <f t="shared" si="113"/>
        <v>46500</v>
      </c>
      <c r="R251" s="177">
        <f t="shared" si="93"/>
        <v>606656.06589831901</v>
      </c>
      <c r="S251" s="177">
        <f t="shared" si="114"/>
        <v>28209.507064271835</v>
      </c>
      <c r="T251" s="177">
        <f t="shared" si="94"/>
        <v>18290.492935728165</v>
      </c>
      <c r="U251" s="178">
        <v>0.606656065898319</v>
      </c>
      <c r="V251" s="177"/>
      <c r="W251" s="176"/>
      <c r="X251" s="177">
        <f t="shared" si="91"/>
        <v>606656.06589831901</v>
      </c>
      <c r="Y251" s="177">
        <f t="shared" si="91"/>
        <v>28209.507064271835</v>
      </c>
      <c r="Z251" s="179">
        <f t="shared" si="92"/>
        <v>606656.06589831901</v>
      </c>
      <c r="AA251" s="179">
        <f t="shared" si="92"/>
        <v>28209.507064271835</v>
      </c>
      <c r="AB251" s="179"/>
      <c r="AC251" s="179"/>
      <c r="AD251" s="179">
        <f t="shared" si="101"/>
        <v>28209.507064271835</v>
      </c>
      <c r="AE251" s="180">
        <v>485324.85271865525</v>
      </c>
      <c r="AF251" s="180">
        <f t="shared" si="115"/>
        <v>539249.83635406138</v>
      </c>
      <c r="AG251" s="180"/>
      <c r="AH251" s="101">
        <v>-28209.51</v>
      </c>
      <c r="AI251" s="104"/>
      <c r="AJ251" s="104"/>
      <c r="AK251" s="104"/>
      <c r="AL251" s="104"/>
      <c r="AM251" s="104">
        <f t="shared" si="89"/>
        <v>-2.9357281637203414E-3</v>
      </c>
      <c r="AN251" s="104"/>
      <c r="AO251" s="104"/>
      <c r="AP251" s="104"/>
      <c r="AQ251" s="104">
        <f t="shared" si="88"/>
        <v>-2.9357281637203414E-3</v>
      </c>
      <c r="AR251" s="104"/>
      <c r="AS251" s="69">
        <f t="shared" si="102"/>
        <v>-2.9357281637203414E-3</v>
      </c>
      <c r="AT251" s="104">
        <f t="shared" si="103"/>
        <v>0</v>
      </c>
      <c r="AU251" s="181">
        <f t="shared" si="116"/>
        <v>606656.06589831901</v>
      </c>
      <c r="AV251" s="181"/>
      <c r="AW251" s="106">
        <v>-606656.06999999995</v>
      </c>
      <c r="AX251" s="182"/>
      <c r="AY251" s="182"/>
      <c r="AZ251" s="182"/>
      <c r="BA251" s="182"/>
      <c r="BB251" s="108">
        <f t="shared" si="90"/>
        <v>-4.1016809409484267E-3</v>
      </c>
      <c r="BC251" s="108">
        <f t="shared" si="117"/>
        <v>-7.2153073148272601E-2</v>
      </c>
      <c r="BD251" s="183"/>
      <c r="BE251" s="183"/>
      <c r="BF251" s="183"/>
      <c r="BG251" s="110">
        <f t="shared" si="118"/>
        <v>-8.4178585339651363E-2</v>
      </c>
      <c r="BH251" s="110"/>
      <c r="BI251" s="110">
        <f t="shared" si="104"/>
        <v>-2.9357281637203414E-3</v>
      </c>
      <c r="BJ251" s="116">
        <f t="shared" si="105"/>
        <v>-0.13047680727645963</v>
      </c>
      <c r="BK251" s="116"/>
      <c r="BL251" s="79"/>
      <c r="BM251" s="184"/>
    </row>
    <row r="252" spans="1:67" s="112" customFormat="1" ht="25.5">
      <c r="A252" s="84">
        <f t="shared" si="112"/>
        <v>186</v>
      </c>
      <c r="B252" s="85" t="s">
        <v>396</v>
      </c>
      <c r="C252" s="86" t="s">
        <v>397</v>
      </c>
      <c r="D252" s="85" t="s">
        <v>64</v>
      </c>
      <c r="E252" s="87" t="s">
        <v>65</v>
      </c>
      <c r="F252" s="89"/>
      <c r="G252" s="89"/>
      <c r="H252" s="90">
        <v>43525</v>
      </c>
      <c r="I252" s="90">
        <v>43525</v>
      </c>
      <c r="J252" s="91">
        <v>3000000</v>
      </c>
      <c r="K252" s="92">
        <v>7.7499999999999999E-2</v>
      </c>
      <c r="L252" s="63">
        <v>7.4999999999999997E-2</v>
      </c>
      <c r="M252" s="93">
        <v>0.9</v>
      </c>
      <c r="N252" s="94">
        <v>9</v>
      </c>
      <c r="O252" s="94"/>
      <c r="P252" s="93">
        <v>12</v>
      </c>
      <c r="Q252" s="95">
        <f t="shared" si="113"/>
        <v>156937.5</v>
      </c>
      <c r="R252" s="94">
        <f t="shared" si="93"/>
        <v>1819968.197694957</v>
      </c>
      <c r="S252" s="95">
        <f t="shared" si="114"/>
        <v>95207.086341917442</v>
      </c>
      <c r="T252" s="95">
        <f t="shared" si="94"/>
        <v>61730.413658082558</v>
      </c>
      <c r="U252" s="96">
        <v>0.606656065898319</v>
      </c>
      <c r="V252" s="94"/>
      <c r="W252" s="97"/>
      <c r="X252" s="95">
        <f t="shared" si="91"/>
        <v>1819968.197694957</v>
      </c>
      <c r="Y252" s="95">
        <f t="shared" si="91"/>
        <v>95207.086341917442</v>
      </c>
      <c r="Z252" s="98">
        <f t="shared" si="92"/>
        <v>1819968.197694957</v>
      </c>
      <c r="AA252" s="98">
        <f t="shared" si="92"/>
        <v>95207.086341917442</v>
      </c>
      <c r="AB252" s="98"/>
      <c r="AC252" s="98">
        <v>94879.11</v>
      </c>
      <c r="AD252" s="98">
        <f t="shared" si="101"/>
        <v>327.97634191744146</v>
      </c>
      <c r="AE252" s="99">
        <v>-862028.62207453861</v>
      </c>
      <c r="AF252" s="100">
        <f t="shared" si="115"/>
        <v>6269.5597021255244</v>
      </c>
      <c r="AG252" s="100"/>
      <c r="AH252" s="101"/>
      <c r="AI252" s="101"/>
      <c r="AJ252" s="102"/>
      <c r="AK252" s="102"/>
      <c r="AL252" s="103"/>
      <c r="AM252" s="104">
        <f t="shared" si="89"/>
        <v>327.97634191744146</v>
      </c>
      <c r="AN252" s="104"/>
      <c r="AO252" s="104"/>
      <c r="AP252" s="104"/>
      <c r="AQ252" s="104">
        <f t="shared" si="88"/>
        <v>327.97634191744146</v>
      </c>
      <c r="AR252" s="104"/>
      <c r="AS252" s="69">
        <f t="shared" si="102"/>
        <v>327.97634191744146</v>
      </c>
      <c r="AT252" s="104">
        <f t="shared" si="103"/>
        <v>0</v>
      </c>
      <c r="AU252" s="181">
        <f t="shared" si="116"/>
        <v>7053.2546648912157</v>
      </c>
      <c r="AV252" s="106"/>
      <c r="AW252" s="106"/>
      <c r="AX252" s="107"/>
      <c r="AY252" s="107"/>
      <c r="AZ252" s="107"/>
      <c r="BA252" s="107"/>
      <c r="BB252" s="108">
        <f t="shared" si="90"/>
        <v>7053.2546648912157</v>
      </c>
      <c r="BC252" s="108">
        <f t="shared" si="117"/>
        <v>8060.8624741613885</v>
      </c>
      <c r="BD252" s="109"/>
      <c r="BE252" s="109"/>
      <c r="BF252" s="109"/>
      <c r="BG252" s="110">
        <f t="shared" si="118"/>
        <v>9404.339553188287</v>
      </c>
      <c r="BH252" s="110"/>
      <c r="BI252" s="110">
        <f t="shared" si="104"/>
        <v>327.97634191744146</v>
      </c>
      <c r="BJ252" s="116">
        <f t="shared" si="105"/>
        <v>14576.726307441844</v>
      </c>
      <c r="BK252" s="116"/>
      <c r="BL252" s="79"/>
      <c r="BM252" s="111"/>
    </row>
    <row r="253" spans="1:67" s="81" customFormat="1" ht="25.5">
      <c r="A253" s="56">
        <f t="shared" si="112"/>
        <v>187</v>
      </c>
      <c r="B253" s="57" t="s">
        <v>398</v>
      </c>
      <c r="C253" s="58" t="s">
        <v>399</v>
      </c>
      <c r="D253" s="57" t="s">
        <v>64</v>
      </c>
      <c r="E253" s="57" t="s">
        <v>65</v>
      </c>
      <c r="F253" s="57"/>
      <c r="G253" s="57"/>
      <c r="H253" s="60">
        <v>43497</v>
      </c>
      <c r="I253" s="61" t="s">
        <v>94</v>
      </c>
      <c r="J253" s="62">
        <v>3500000</v>
      </c>
      <c r="K253" s="63">
        <v>7.7499999999999999E-2</v>
      </c>
      <c r="L253" s="63">
        <v>7.4999999999999997E-2</v>
      </c>
      <c r="M253" s="64">
        <v>0.9</v>
      </c>
      <c r="N253" s="65">
        <v>10</v>
      </c>
      <c r="O253" s="65">
        <v>5</v>
      </c>
      <c r="P253" s="64">
        <v>12</v>
      </c>
      <c r="Q253" s="65">
        <f t="shared" si="113"/>
        <v>203437.5</v>
      </c>
      <c r="R253" s="65">
        <f t="shared" si="93"/>
        <v>2123296.2306441166</v>
      </c>
      <c r="S253" s="65">
        <f t="shared" si="114"/>
        <v>123416.59340618928</v>
      </c>
      <c r="T253" s="65">
        <f t="shared" si="94"/>
        <v>80020.906593810723</v>
      </c>
      <c r="U253" s="66">
        <v>0.606656065898319</v>
      </c>
      <c r="V253" s="65"/>
      <c r="W253" s="64"/>
      <c r="X253" s="65">
        <f t="shared" si="91"/>
        <v>2123296.2306441166</v>
      </c>
      <c r="Y253" s="65">
        <f t="shared" si="91"/>
        <v>123416.59340618928</v>
      </c>
      <c r="Z253" s="67">
        <f t="shared" si="92"/>
        <v>2123296.2306441166</v>
      </c>
      <c r="AA253" s="67">
        <f t="shared" si="92"/>
        <v>123416.59340618928</v>
      </c>
      <c r="AB253" s="67"/>
      <c r="AC253" s="67"/>
      <c r="AD253" s="67">
        <f t="shared" si="101"/>
        <v>123416.59340618928</v>
      </c>
      <c r="AE253" s="68">
        <v>4246592.4612882333</v>
      </c>
      <c r="AF253" s="68">
        <f t="shared" si="115"/>
        <v>2359218.0340490183</v>
      </c>
      <c r="AG253" s="68"/>
      <c r="AH253" s="69"/>
      <c r="AI253" s="69"/>
      <c r="AJ253" s="70"/>
      <c r="AK253" s="70"/>
      <c r="AL253" s="71"/>
      <c r="AM253" s="69">
        <f t="shared" si="89"/>
        <v>123416.59340618928</v>
      </c>
      <c r="AN253" s="69"/>
      <c r="AO253" s="69"/>
      <c r="AP253" s="69"/>
      <c r="AQ253" s="69">
        <f t="shared" si="88"/>
        <v>123416.59340618928</v>
      </c>
      <c r="AR253" s="69">
        <v>84375</v>
      </c>
      <c r="AS253" s="69">
        <f t="shared" si="102"/>
        <v>39041.593406189277</v>
      </c>
      <c r="AT253" s="69">
        <f t="shared" si="103"/>
        <v>0</v>
      </c>
      <c r="AU253" s="72">
        <f t="shared" si="116"/>
        <v>2654120.2883051457</v>
      </c>
      <c r="AV253" s="72"/>
      <c r="AW253" s="72"/>
      <c r="AX253" s="73"/>
      <c r="AY253" s="74"/>
      <c r="AZ253" s="74"/>
      <c r="BA253" s="75"/>
      <c r="BB253" s="76">
        <f t="shared" si="90"/>
        <v>2654120.2883051457</v>
      </c>
      <c r="BC253" s="76">
        <f t="shared" si="117"/>
        <v>3033280.3294915948</v>
      </c>
      <c r="BD253" s="77"/>
      <c r="BE253" s="77"/>
      <c r="BF253" s="77"/>
      <c r="BG253" s="78">
        <f t="shared" si="118"/>
        <v>3538827.0510735274</v>
      </c>
      <c r="BH253" s="78"/>
      <c r="BI253" s="78">
        <f t="shared" si="104"/>
        <v>39041.593406189277</v>
      </c>
      <c r="BJ253" s="79">
        <f t="shared" si="105"/>
        <v>1735181.9291639677</v>
      </c>
      <c r="BK253" s="79">
        <v>0</v>
      </c>
      <c r="BL253" s="79">
        <v>3000000</v>
      </c>
      <c r="BM253" s="82" t="s">
        <v>72</v>
      </c>
      <c r="BN253" s="83" t="s">
        <v>73</v>
      </c>
      <c r="BO253" s="379">
        <v>7000000</v>
      </c>
    </row>
    <row r="254" spans="1:67" s="81" customFormat="1" ht="25.5">
      <c r="A254" s="56">
        <f t="shared" si="112"/>
        <v>188</v>
      </c>
      <c r="B254" s="57" t="s">
        <v>398</v>
      </c>
      <c r="C254" s="58" t="s">
        <v>399</v>
      </c>
      <c r="D254" s="117" t="s">
        <v>120</v>
      </c>
      <c r="E254" s="57" t="s">
        <v>65</v>
      </c>
      <c r="F254" s="57"/>
      <c r="G254" s="57"/>
      <c r="H254" s="60">
        <v>43497</v>
      </c>
      <c r="I254" s="61" t="s">
        <v>94</v>
      </c>
      <c r="J254" s="62">
        <v>3500000</v>
      </c>
      <c r="K254" s="63">
        <v>7.7499999999999999E-2</v>
      </c>
      <c r="L254" s="63">
        <v>7.4999999999999997E-2</v>
      </c>
      <c r="M254" s="64">
        <v>0.9</v>
      </c>
      <c r="N254" s="65">
        <v>10</v>
      </c>
      <c r="O254" s="65">
        <v>5</v>
      </c>
      <c r="P254" s="64">
        <v>12</v>
      </c>
      <c r="Q254" s="65">
        <f t="shared" si="113"/>
        <v>203437.5</v>
      </c>
      <c r="R254" s="65">
        <f t="shared" si="93"/>
        <v>2123296.2306441166</v>
      </c>
      <c r="S254" s="65">
        <f t="shared" si="114"/>
        <v>123416.59340618928</v>
      </c>
      <c r="T254" s="65">
        <f t="shared" si="94"/>
        <v>80020.906593810723</v>
      </c>
      <c r="U254" s="66">
        <v>0.606656065898319</v>
      </c>
      <c r="V254" s="65"/>
      <c r="W254" s="64"/>
      <c r="X254" s="65">
        <f t="shared" si="91"/>
        <v>2123296.2306441166</v>
      </c>
      <c r="Y254" s="65">
        <f t="shared" si="91"/>
        <v>123416.59340618928</v>
      </c>
      <c r="Z254" s="67">
        <f t="shared" si="92"/>
        <v>2123296.2306441166</v>
      </c>
      <c r="AA254" s="67">
        <f t="shared" si="92"/>
        <v>123416.59340618928</v>
      </c>
      <c r="AB254" s="67"/>
      <c r="AC254" s="67"/>
      <c r="AD254" s="67">
        <f t="shared" si="101"/>
        <v>123416.59340618928</v>
      </c>
      <c r="AE254" s="68">
        <v>0</v>
      </c>
      <c r="AF254" s="68">
        <f t="shared" si="115"/>
        <v>2359218.0340490183</v>
      </c>
      <c r="AG254" s="68"/>
      <c r="AH254" s="69"/>
      <c r="AI254" s="69"/>
      <c r="AJ254" s="70"/>
      <c r="AK254" s="70"/>
      <c r="AL254" s="71"/>
      <c r="AM254" s="69">
        <f t="shared" si="89"/>
        <v>123416.59340618928</v>
      </c>
      <c r="AN254" s="69"/>
      <c r="AO254" s="69"/>
      <c r="AP254" s="69"/>
      <c r="AQ254" s="69">
        <f t="shared" si="88"/>
        <v>123416.59340618928</v>
      </c>
      <c r="AR254" s="69">
        <v>112500</v>
      </c>
      <c r="AS254" s="69">
        <f t="shared" si="102"/>
        <v>10916.593406189277</v>
      </c>
      <c r="AT254" s="69">
        <f t="shared" si="103"/>
        <v>0</v>
      </c>
      <c r="AU254" s="72">
        <f t="shared" si="116"/>
        <v>2654120.2883051457</v>
      </c>
      <c r="AV254" s="72"/>
      <c r="AW254" s="72"/>
      <c r="AX254" s="73"/>
      <c r="AY254" s="74"/>
      <c r="AZ254" s="74"/>
      <c r="BA254" s="75"/>
      <c r="BB254" s="76">
        <f t="shared" si="90"/>
        <v>2654120.2883051457</v>
      </c>
      <c r="BC254" s="76">
        <f t="shared" si="117"/>
        <v>3033280.3294915948</v>
      </c>
      <c r="BD254" s="77"/>
      <c r="BE254" s="77"/>
      <c r="BF254" s="77"/>
      <c r="BG254" s="78">
        <f t="shared" si="118"/>
        <v>3538827.0510735274</v>
      </c>
      <c r="BH254" s="78"/>
      <c r="BI254" s="78">
        <f t="shared" si="104"/>
        <v>10916.593406189277</v>
      </c>
      <c r="BJ254" s="79">
        <f t="shared" si="105"/>
        <v>485181.92916396796</v>
      </c>
      <c r="BK254" s="79">
        <v>0</v>
      </c>
      <c r="BL254" s="79">
        <v>4000000</v>
      </c>
      <c r="BM254" s="82" t="s">
        <v>400</v>
      </c>
      <c r="BN254" s="83" t="s">
        <v>73</v>
      </c>
    </row>
    <row r="255" spans="1:67" s="112" customFormat="1" ht="25.5">
      <c r="A255" s="84">
        <f t="shared" si="112"/>
        <v>189</v>
      </c>
      <c r="B255" s="85" t="s">
        <v>401</v>
      </c>
      <c r="C255" s="86" t="s">
        <v>402</v>
      </c>
      <c r="D255" s="85" t="s">
        <v>64</v>
      </c>
      <c r="E255" s="87" t="s">
        <v>98</v>
      </c>
      <c r="F255" s="89"/>
      <c r="G255" s="89"/>
      <c r="H255" s="90">
        <v>43497</v>
      </c>
      <c r="I255" s="90">
        <v>43497</v>
      </c>
      <c r="J255" s="91">
        <v>8000000</v>
      </c>
      <c r="K255" s="92">
        <v>7.7499999999999999E-2</v>
      </c>
      <c r="L255" s="63">
        <v>7.4999999999999997E-2</v>
      </c>
      <c r="M255" s="93">
        <v>0.9</v>
      </c>
      <c r="N255" s="94">
        <v>10</v>
      </c>
      <c r="O255" s="94"/>
      <c r="P255" s="93">
        <v>12</v>
      </c>
      <c r="Q255" s="95">
        <f t="shared" si="113"/>
        <v>465000</v>
      </c>
      <c r="R255" s="94">
        <f t="shared" si="93"/>
        <v>4853248.5271865521</v>
      </c>
      <c r="S255" s="95">
        <f t="shared" si="114"/>
        <v>282095.07064271835</v>
      </c>
      <c r="T255" s="95">
        <f t="shared" si="94"/>
        <v>182904.92935728165</v>
      </c>
      <c r="U255" s="96">
        <v>0.606656065898319</v>
      </c>
      <c r="V255" s="94"/>
      <c r="W255" s="97"/>
      <c r="X255" s="95">
        <f t="shared" si="91"/>
        <v>4853248.5271865521</v>
      </c>
      <c r="Y255" s="95">
        <f t="shared" si="91"/>
        <v>282095.07064271835</v>
      </c>
      <c r="Z255" s="98">
        <f t="shared" si="92"/>
        <v>4853248.5271865521</v>
      </c>
      <c r="AA255" s="98">
        <f>SUM(Y255)-56875.88</f>
        <v>225219.19064271834</v>
      </c>
      <c r="AB255" s="98">
        <f>464999.99-AB256-AB257</f>
        <v>225219.17999999993</v>
      </c>
      <c r="AC255" s="98"/>
      <c r="AD255" s="98">
        <f t="shared" si="101"/>
        <v>1.0642718407325447E-2</v>
      </c>
      <c r="AE255" s="100">
        <v>1.1854261159896851E-2</v>
      </c>
      <c r="AF255" s="100">
        <f t="shared" si="115"/>
        <v>0.20344503526548047</v>
      </c>
      <c r="AG255" s="100"/>
      <c r="AH255" s="101"/>
      <c r="AI255" s="101"/>
      <c r="AJ255" s="101"/>
      <c r="AK255" s="101"/>
      <c r="AL255" s="101"/>
      <c r="AM255" s="104">
        <f t="shared" si="89"/>
        <v>1.0642718407325447E-2</v>
      </c>
      <c r="AN255" s="104"/>
      <c r="AO255" s="104"/>
      <c r="AP255" s="104"/>
      <c r="AQ255" s="104">
        <f t="shared" si="88"/>
        <v>1.0642718407325447E-2</v>
      </c>
      <c r="AR255" s="104"/>
      <c r="AS255" s="104">
        <f t="shared" si="102"/>
        <v>1.0642718407325447E-2</v>
      </c>
      <c r="AT255" s="104">
        <f t="shared" si="103"/>
        <v>0</v>
      </c>
      <c r="AU255" s="181">
        <f t="shared" si="116"/>
        <v>0.22887566467366549</v>
      </c>
      <c r="AV255" s="106"/>
      <c r="AW255" s="106"/>
      <c r="AX255" s="107"/>
      <c r="AY255" s="107"/>
      <c r="AZ255" s="107"/>
      <c r="BA255" s="107"/>
      <c r="BB255" s="108">
        <f t="shared" si="90"/>
        <v>0.22887566467366549</v>
      </c>
      <c r="BC255" s="108">
        <f t="shared" si="117"/>
        <v>0.26157218819847483</v>
      </c>
      <c r="BD255" s="109"/>
      <c r="BE255" s="109"/>
      <c r="BF255" s="109"/>
      <c r="BG255" s="110">
        <f t="shared" si="118"/>
        <v>0.30516755289822067</v>
      </c>
      <c r="BH255" s="110"/>
      <c r="BI255" s="110">
        <f t="shared" si="104"/>
        <v>1.0642718407325447E-2</v>
      </c>
      <c r="BJ255" s="116">
        <f t="shared" si="105"/>
        <v>0.4730097069922421</v>
      </c>
      <c r="BK255" s="116"/>
      <c r="BL255" s="79"/>
      <c r="BM255" s="111"/>
    </row>
    <row r="256" spans="1:67" s="112" customFormat="1" ht="25.5">
      <c r="A256" s="84">
        <f t="shared" si="112"/>
        <v>190</v>
      </c>
      <c r="B256" s="85" t="s">
        <v>401</v>
      </c>
      <c r="C256" s="86" t="s">
        <v>402</v>
      </c>
      <c r="D256" s="85" t="s">
        <v>120</v>
      </c>
      <c r="E256" s="87"/>
      <c r="F256" s="89"/>
      <c r="G256" s="89"/>
      <c r="H256" s="90">
        <v>43556</v>
      </c>
      <c r="I256" s="90">
        <v>43556</v>
      </c>
      <c r="J256" s="91">
        <v>6000000</v>
      </c>
      <c r="K256" s="92">
        <v>7.7499999999999999E-2</v>
      </c>
      <c r="L256" s="63">
        <v>7.4999999999999997E-2</v>
      </c>
      <c r="M256" s="93">
        <v>0.9</v>
      </c>
      <c r="N256" s="94">
        <v>8</v>
      </c>
      <c r="O256" s="94"/>
      <c r="P256" s="93">
        <v>12</v>
      </c>
      <c r="Q256" s="95">
        <f t="shared" si="113"/>
        <v>279000</v>
      </c>
      <c r="R256" s="94">
        <f t="shared" si="93"/>
        <v>3639936.395389914</v>
      </c>
      <c r="S256" s="95">
        <f t="shared" si="114"/>
        <v>169257.04238563101</v>
      </c>
      <c r="T256" s="95">
        <f t="shared" si="94"/>
        <v>109742.95761436899</v>
      </c>
      <c r="U256" s="96">
        <v>0.606656065898319</v>
      </c>
      <c r="V256" s="94"/>
      <c r="W256" s="97"/>
      <c r="X256" s="95">
        <f t="shared" si="91"/>
        <v>3639936.395389914</v>
      </c>
      <c r="Y256" s="95">
        <f t="shared" si="91"/>
        <v>169257.04238563101</v>
      </c>
      <c r="Z256" s="98">
        <f t="shared" si="92"/>
        <v>3639936.395389914</v>
      </c>
      <c r="AA256" s="98">
        <f t="shared" si="92"/>
        <v>169257.04238563101</v>
      </c>
      <c r="AB256" s="98">
        <v>169257.04</v>
      </c>
      <c r="AC256" s="98"/>
      <c r="AD256" s="98">
        <f t="shared" si="101"/>
        <v>2.385630999924615E-3</v>
      </c>
      <c r="AE256" s="100">
        <v>0</v>
      </c>
      <c r="AF256" s="100">
        <f t="shared" si="115"/>
        <v>4.5603459974664085E-2</v>
      </c>
      <c r="AG256" s="100"/>
      <c r="AH256" s="101"/>
      <c r="AI256" s="101"/>
      <c r="AJ256" s="101"/>
      <c r="AK256" s="101"/>
      <c r="AL256" s="101"/>
      <c r="AM256" s="104">
        <f t="shared" si="89"/>
        <v>2.385630999924615E-3</v>
      </c>
      <c r="AN256" s="104"/>
      <c r="AO256" s="104"/>
      <c r="AP256" s="104"/>
      <c r="AQ256" s="104">
        <f t="shared" si="88"/>
        <v>2.385630999924615E-3</v>
      </c>
      <c r="AR256" s="104"/>
      <c r="AS256" s="104">
        <f t="shared" si="102"/>
        <v>2.385630999924615E-3</v>
      </c>
      <c r="AT256" s="104">
        <f t="shared" si="103"/>
        <v>0</v>
      </c>
      <c r="AU256" s="181">
        <f t="shared" si="116"/>
        <v>5.1303892471497095E-2</v>
      </c>
      <c r="AV256" s="106"/>
      <c r="AW256" s="106"/>
      <c r="AX256" s="107"/>
      <c r="AY256" s="107"/>
      <c r="AZ256" s="107"/>
      <c r="BA256" s="107"/>
      <c r="BB256" s="108">
        <f t="shared" si="90"/>
        <v>5.1303892471497095E-2</v>
      </c>
      <c r="BC256" s="108">
        <f t="shared" si="117"/>
        <v>5.8633019967425259E-2</v>
      </c>
      <c r="BD256" s="109"/>
      <c r="BE256" s="109"/>
      <c r="BF256" s="109"/>
      <c r="BG256" s="110">
        <f t="shared" si="118"/>
        <v>6.8405189961996127E-2</v>
      </c>
      <c r="BH256" s="110"/>
      <c r="BI256" s="110">
        <f t="shared" si="104"/>
        <v>2.385630999924615E-3</v>
      </c>
      <c r="BJ256" s="116">
        <f t="shared" si="105"/>
        <v>0.106028044441094</v>
      </c>
      <c r="BK256" s="116"/>
      <c r="BL256" s="79"/>
      <c r="BM256" s="111"/>
    </row>
    <row r="257" spans="1:66" s="112" customFormat="1" ht="25.5">
      <c r="A257" s="84">
        <f t="shared" si="112"/>
        <v>191</v>
      </c>
      <c r="B257" s="85" t="s">
        <v>401</v>
      </c>
      <c r="C257" s="86" t="s">
        <v>402</v>
      </c>
      <c r="D257" s="85" t="s">
        <v>120</v>
      </c>
      <c r="E257" s="87"/>
      <c r="F257" s="89"/>
      <c r="G257" s="89"/>
      <c r="H257" s="90">
        <v>43739</v>
      </c>
      <c r="I257" s="90">
        <v>43739</v>
      </c>
      <c r="J257" s="91">
        <v>10000000</v>
      </c>
      <c r="K257" s="92">
        <v>7.7499999999999999E-2</v>
      </c>
      <c r="L257" s="63">
        <v>7.4999999999999997E-2</v>
      </c>
      <c r="M257" s="93">
        <v>0.9</v>
      </c>
      <c r="N257" s="94">
        <v>2</v>
      </c>
      <c r="O257" s="94"/>
      <c r="P257" s="93">
        <v>12</v>
      </c>
      <c r="Q257" s="95">
        <f t="shared" si="113"/>
        <v>116250</v>
      </c>
      <c r="R257" s="94">
        <f t="shared" si="93"/>
        <v>6066560.6589831896</v>
      </c>
      <c r="S257" s="95">
        <f t="shared" si="114"/>
        <v>70523.767660679572</v>
      </c>
      <c r="T257" s="95">
        <f t="shared" si="94"/>
        <v>45726.232339320428</v>
      </c>
      <c r="U257" s="96">
        <v>0.606656065898319</v>
      </c>
      <c r="V257" s="94"/>
      <c r="W257" s="97"/>
      <c r="X257" s="95">
        <f t="shared" si="91"/>
        <v>6066560.6589831896</v>
      </c>
      <c r="Y257" s="95">
        <f t="shared" si="91"/>
        <v>70523.767660679572</v>
      </c>
      <c r="Z257" s="98">
        <f t="shared" si="92"/>
        <v>6066560.6589831896</v>
      </c>
      <c r="AA257" s="98">
        <f t="shared" si="92"/>
        <v>70523.767660679572</v>
      </c>
      <c r="AB257" s="98">
        <v>70523.77</v>
      </c>
      <c r="AC257" s="98"/>
      <c r="AD257" s="98">
        <f t="shared" si="101"/>
        <v>-2.3393204319290817E-3</v>
      </c>
      <c r="AE257" s="100">
        <v>0</v>
      </c>
      <c r="AF257" s="100">
        <f t="shared" si="115"/>
        <v>-4.4718192247150901E-2</v>
      </c>
      <c r="AG257" s="100"/>
      <c r="AH257" s="101"/>
      <c r="AI257" s="101"/>
      <c r="AJ257" s="101"/>
      <c r="AK257" s="101"/>
      <c r="AL257" s="101"/>
      <c r="AM257" s="104">
        <f t="shared" si="89"/>
        <v>-2.3393204319290817E-3</v>
      </c>
      <c r="AN257" s="104"/>
      <c r="AO257" s="104"/>
      <c r="AP257" s="104"/>
      <c r="AQ257" s="104">
        <f t="shared" si="88"/>
        <v>-2.3393204319290817E-3</v>
      </c>
      <c r="AR257" s="104"/>
      <c r="AS257" s="104">
        <f t="shared" si="102"/>
        <v>-2.3393204319290817E-3</v>
      </c>
      <c r="AT257" s="104">
        <f t="shared" si="103"/>
        <v>0</v>
      </c>
      <c r="AU257" s="105">
        <f t="shared" si="116"/>
        <v>-5.0307966278044763E-2</v>
      </c>
      <c r="AV257" s="106"/>
      <c r="AW257" s="106"/>
      <c r="AX257" s="107"/>
      <c r="AY257" s="107"/>
      <c r="AZ257" s="107"/>
      <c r="BA257" s="107"/>
      <c r="BB257" s="108">
        <f t="shared" si="90"/>
        <v>-5.0307966278044763E-2</v>
      </c>
      <c r="BC257" s="108">
        <f t="shared" si="117"/>
        <v>-5.7494818603479728E-2</v>
      </c>
      <c r="BD257" s="109"/>
      <c r="BE257" s="109"/>
      <c r="BF257" s="109"/>
      <c r="BG257" s="110">
        <f t="shared" si="118"/>
        <v>-6.7077288370726351E-2</v>
      </c>
      <c r="BH257" s="110"/>
      <c r="BI257" s="110">
        <f t="shared" si="104"/>
        <v>-2.3393204319290817E-3</v>
      </c>
      <c r="BJ257" s="116">
        <f t="shared" si="105"/>
        <v>-0.10396979697462586</v>
      </c>
      <c r="BK257" s="116"/>
      <c r="BL257" s="79"/>
      <c r="BM257" s="111"/>
    </row>
    <row r="258" spans="1:66" s="112" customFormat="1" ht="25.5" hidden="1">
      <c r="A258" s="150"/>
      <c r="B258" s="151" t="s">
        <v>401</v>
      </c>
      <c r="C258" s="152" t="s">
        <v>402</v>
      </c>
      <c r="D258" s="153"/>
      <c r="E258" s="127"/>
      <c r="F258" s="153"/>
      <c r="G258" s="153"/>
      <c r="H258" s="155"/>
      <c r="I258" s="155"/>
      <c r="J258" s="156"/>
      <c r="K258" s="157"/>
      <c r="L258" s="142">
        <v>7.4999999999999997E-2</v>
      </c>
      <c r="M258" s="133">
        <v>0.9</v>
      </c>
      <c r="N258" s="131">
        <v>9</v>
      </c>
      <c r="O258" s="131">
        <v>4</v>
      </c>
      <c r="P258" s="133">
        <v>12</v>
      </c>
      <c r="Q258" s="158"/>
      <c r="R258" s="158"/>
      <c r="S258" s="158"/>
      <c r="T258" s="158"/>
      <c r="U258" s="159"/>
      <c r="V258" s="158"/>
      <c r="W258" s="160"/>
      <c r="X258" s="158"/>
      <c r="Y258" s="158"/>
      <c r="Z258" s="161"/>
      <c r="AA258" s="161"/>
      <c r="AB258" s="161"/>
      <c r="AC258" s="161"/>
      <c r="AD258" s="161"/>
      <c r="AE258" s="163"/>
      <c r="AF258" s="163"/>
      <c r="AG258" s="163"/>
      <c r="AH258" s="102"/>
      <c r="AI258" s="102"/>
      <c r="AJ258" s="102"/>
      <c r="AK258" s="102"/>
      <c r="AL258" s="102"/>
      <c r="AM258" s="70"/>
      <c r="AN258" s="70"/>
      <c r="AO258" s="70"/>
      <c r="AP258" s="70"/>
      <c r="AQ258" s="70"/>
      <c r="AR258" s="70"/>
      <c r="AS258" s="70">
        <f t="shared" si="102"/>
        <v>0</v>
      </c>
      <c r="AT258" s="70">
        <f t="shared" si="103"/>
        <v>0</v>
      </c>
      <c r="AU258" s="164"/>
      <c r="AV258" s="165"/>
      <c r="AW258" s="165"/>
      <c r="AX258" s="166"/>
      <c r="AY258" s="166"/>
      <c r="AZ258" s="166"/>
      <c r="BA258" s="166"/>
      <c r="BB258" s="137"/>
      <c r="BC258" s="137"/>
      <c r="BD258" s="167"/>
      <c r="BE258" s="167"/>
      <c r="BF258" s="167"/>
      <c r="BG258" s="168"/>
      <c r="BH258" s="168"/>
      <c r="BI258" s="168">
        <f t="shared" si="104"/>
        <v>0</v>
      </c>
      <c r="BJ258" s="169">
        <f t="shared" si="105"/>
        <v>0</v>
      </c>
      <c r="BK258" s="169"/>
      <c r="BL258" s="143">
        <v>10000000</v>
      </c>
      <c r="BM258" s="315" t="s">
        <v>99</v>
      </c>
      <c r="BN258" s="112" t="s">
        <v>76</v>
      </c>
    </row>
    <row r="259" spans="1:66" s="112" customFormat="1" ht="25.5">
      <c r="A259" s="84">
        <f>A257+1</f>
        <v>192</v>
      </c>
      <c r="B259" s="85" t="s">
        <v>403</v>
      </c>
      <c r="C259" s="86" t="s">
        <v>404</v>
      </c>
      <c r="D259" s="85" t="s">
        <v>64</v>
      </c>
      <c r="E259" s="87"/>
      <c r="F259" s="89"/>
      <c r="G259" s="89"/>
      <c r="H259" s="90">
        <v>43497</v>
      </c>
      <c r="I259" s="90">
        <v>43497</v>
      </c>
      <c r="J259" s="91">
        <v>8000000</v>
      </c>
      <c r="K259" s="92">
        <v>7.7499999999999999E-2</v>
      </c>
      <c r="L259" s="63">
        <v>7.4999999999999997E-2</v>
      </c>
      <c r="M259" s="93">
        <v>0.9</v>
      </c>
      <c r="N259" s="94">
        <v>10</v>
      </c>
      <c r="O259" s="94"/>
      <c r="P259" s="93">
        <v>12</v>
      </c>
      <c r="Q259" s="95">
        <f>J259*K259*M259*N259/P259</f>
        <v>465000</v>
      </c>
      <c r="R259" s="94">
        <f t="shared" si="93"/>
        <v>4853248.5271865521</v>
      </c>
      <c r="S259" s="95">
        <f>R259*K259*M259*N259/P259</f>
        <v>282095.07064271835</v>
      </c>
      <c r="T259" s="95">
        <f t="shared" si="94"/>
        <v>182904.92935728165</v>
      </c>
      <c r="U259" s="96">
        <v>0.606656065898319</v>
      </c>
      <c r="V259" s="95"/>
      <c r="W259" s="97"/>
      <c r="X259" s="95">
        <f t="shared" si="91"/>
        <v>4853248.5271865521</v>
      </c>
      <c r="Y259" s="95">
        <f t="shared" si="91"/>
        <v>282095.07064271835</v>
      </c>
      <c r="Z259" s="98">
        <f t="shared" si="92"/>
        <v>4853248.5271865521</v>
      </c>
      <c r="AA259" s="98">
        <f>SUM(Y259)-56875.88</f>
        <v>225219.19064271834</v>
      </c>
      <c r="AB259" s="98">
        <f>464999.99-AB260-AB261</f>
        <v>225219.18999999994</v>
      </c>
      <c r="AC259" s="98"/>
      <c r="AD259" s="98">
        <f t="shared" si="101"/>
        <v>6.4271839801222086E-4</v>
      </c>
      <c r="AE259" s="100">
        <v>1.1854261159896851E-2</v>
      </c>
      <c r="AF259" s="100">
        <f>AD259/K259/M259/9*P259</f>
        <v>1.228613425112967E-2</v>
      </c>
      <c r="AG259" s="100"/>
      <c r="AH259" s="101"/>
      <c r="AI259" s="101"/>
      <c r="AJ259" s="101"/>
      <c r="AK259" s="101"/>
      <c r="AL259" s="101"/>
      <c r="AM259" s="104">
        <f t="shared" si="89"/>
        <v>6.4271839801222086E-4</v>
      </c>
      <c r="AN259" s="104"/>
      <c r="AO259" s="104"/>
      <c r="AP259" s="104"/>
      <c r="AQ259" s="104">
        <f t="shared" ref="AQ259:AQ326" si="119">AM259-AN259-AO259-AP259</f>
        <v>6.4271839801222086E-4</v>
      </c>
      <c r="AR259" s="104"/>
      <c r="AS259" s="104">
        <f t="shared" si="102"/>
        <v>6.4271839801222086E-4</v>
      </c>
      <c r="AT259" s="104">
        <f t="shared" si="103"/>
        <v>0</v>
      </c>
      <c r="AU259" s="181">
        <f>AD259/K259/M259/8*P259</f>
        <v>1.3821901032520879E-2</v>
      </c>
      <c r="AV259" s="106"/>
      <c r="AW259" s="106"/>
      <c r="AX259" s="107"/>
      <c r="AY259" s="107"/>
      <c r="AZ259" s="107"/>
      <c r="BA259" s="107"/>
      <c r="BB259" s="108">
        <f t="shared" si="90"/>
        <v>1.3821901032520879E-2</v>
      </c>
      <c r="BC259" s="108">
        <f>AM259/K259/M259/7*P259</f>
        <v>1.5796458322881006E-2</v>
      </c>
      <c r="BD259" s="109"/>
      <c r="BE259" s="109"/>
      <c r="BF259" s="109"/>
      <c r="BG259" s="110">
        <f>AQ259/K259/M259/6*P259</f>
        <v>1.8429201376694505E-2</v>
      </c>
      <c r="BH259" s="110"/>
      <c r="BI259" s="110">
        <f t="shared" si="104"/>
        <v>6.4271839801222086E-4</v>
      </c>
      <c r="BJ259" s="116">
        <f t="shared" si="105"/>
        <v>2.8565262133876484E-2</v>
      </c>
      <c r="BK259" s="116"/>
      <c r="BL259" s="79"/>
      <c r="BM259" s="111"/>
    </row>
    <row r="260" spans="1:66" s="112" customFormat="1" ht="25.5">
      <c r="A260" s="84">
        <f t="shared" ref="A260:A323" si="120">A259+1</f>
        <v>193</v>
      </c>
      <c r="B260" s="85" t="s">
        <v>403</v>
      </c>
      <c r="C260" s="86" t="s">
        <v>404</v>
      </c>
      <c r="D260" s="85" t="s">
        <v>120</v>
      </c>
      <c r="E260" s="87"/>
      <c r="F260" s="89"/>
      <c r="G260" s="89"/>
      <c r="H260" s="90">
        <v>43556</v>
      </c>
      <c r="I260" s="90">
        <v>43556</v>
      </c>
      <c r="J260" s="91">
        <v>6000000</v>
      </c>
      <c r="K260" s="92">
        <v>7.7499999999999999E-2</v>
      </c>
      <c r="L260" s="63">
        <v>7.4999999999999997E-2</v>
      </c>
      <c r="M260" s="93">
        <v>0.9</v>
      </c>
      <c r="N260" s="94">
        <v>8</v>
      </c>
      <c r="O260" s="94"/>
      <c r="P260" s="93">
        <v>12</v>
      </c>
      <c r="Q260" s="95">
        <f>J260*K260*M260*N260/P260</f>
        <v>279000</v>
      </c>
      <c r="R260" s="94">
        <f t="shared" si="93"/>
        <v>3639936.395389914</v>
      </c>
      <c r="S260" s="95">
        <f>R260*K260*M260*N260/P260</f>
        <v>169257.04238563101</v>
      </c>
      <c r="T260" s="95">
        <f t="shared" si="94"/>
        <v>109742.95761436899</v>
      </c>
      <c r="U260" s="96">
        <v>0.606656065898319</v>
      </c>
      <c r="V260" s="95"/>
      <c r="W260" s="97"/>
      <c r="X260" s="95">
        <f t="shared" si="91"/>
        <v>3639936.395389914</v>
      </c>
      <c r="Y260" s="95">
        <f t="shared" si="91"/>
        <v>169257.04238563101</v>
      </c>
      <c r="Z260" s="98">
        <f t="shared" si="92"/>
        <v>3639936.395389914</v>
      </c>
      <c r="AA260" s="98">
        <f t="shared" si="92"/>
        <v>169257.04238563101</v>
      </c>
      <c r="AB260" s="98">
        <v>169257.04</v>
      </c>
      <c r="AC260" s="98"/>
      <c r="AD260" s="98">
        <f t="shared" si="101"/>
        <v>2.385630999924615E-3</v>
      </c>
      <c r="AE260" s="100">
        <v>0</v>
      </c>
      <c r="AF260" s="100">
        <f>AD260/K260/M260/9*P260</f>
        <v>4.5603459974664085E-2</v>
      </c>
      <c r="AG260" s="100"/>
      <c r="AH260" s="101"/>
      <c r="AI260" s="101"/>
      <c r="AJ260" s="101"/>
      <c r="AK260" s="101"/>
      <c r="AL260" s="101"/>
      <c r="AM260" s="104">
        <f t="shared" ref="AM260:AM326" si="121">AD260+AH260-AG260-AI260-AJ260-AK260-AL260</f>
        <v>2.385630999924615E-3</v>
      </c>
      <c r="AN260" s="104"/>
      <c r="AO260" s="104"/>
      <c r="AP260" s="104"/>
      <c r="AQ260" s="104">
        <f t="shared" si="119"/>
        <v>2.385630999924615E-3</v>
      </c>
      <c r="AR260" s="104"/>
      <c r="AS260" s="104">
        <f t="shared" si="102"/>
        <v>2.385630999924615E-3</v>
      </c>
      <c r="AT260" s="104">
        <f t="shared" si="103"/>
        <v>0</v>
      </c>
      <c r="AU260" s="181">
        <f>AD260/K260/M260/8*P260</f>
        <v>5.1303892471497095E-2</v>
      </c>
      <c r="AV260" s="106"/>
      <c r="AW260" s="106"/>
      <c r="AX260" s="107"/>
      <c r="AY260" s="107"/>
      <c r="AZ260" s="107"/>
      <c r="BA260" s="107"/>
      <c r="BB260" s="108">
        <f t="shared" ref="BB260:BB327" si="122">AU260-AV260+AW260-AX260-AY260-AZ260-BA260</f>
        <v>5.1303892471497095E-2</v>
      </c>
      <c r="BC260" s="108">
        <f>AM260/K260/M260/7*P260</f>
        <v>5.8633019967425259E-2</v>
      </c>
      <c r="BD260" s="109"/>
      <c r="BE260" s="109"/>
      <c r="BF260" s="109"/>
      <c r="BG260" s="110">
        <f>AQ260/K260/M260/6*P260</f>
        <v>6.8405189961996127E-2</v>
      </c>
      <c r="BH260" s="110"/>
      <c r="BI260" s="110">
        <f t="shared" si="104"/>
        <v>2.385630999924615E-3</v>
      </c>
      <c r="BJ260" s="116">
        <f t="shared" si="105"/>
        <v>0.106028044441094</v>
      </c>
      <c r="BK260" s="116"/>
      <c r="BL260" s="79"/>
      <c r="BM260" s="111"/>
    </row>
    <row r="261" spans="1:66" s="112" customFormat="1" ht="25.5">
      <c r="A261" s="84">
        <f t="shared" si="120"/>
        <v>194</v>
      </c>
      <c r="B261" s="85" t="s">
        <v>403</v>
      </c>
      <c r="C261" s="86" t="s">
        <v>404</v>
      </c>
      <c r="D261" s="85" t="s">
        <v>120</v>
      </c>
      <c r="E261" s="87"/>
      <c r="F261" s="89"/>
      <c r="G261" s="89"/>
      <c r="H261" s="90">
        <v>43739</v>
      </c>
      <c r="I261" s="90">
        <v>43739</v>
      </c>
      <c r="J261" s="91">
        <v>10000000</v>
      </c>
      <c r="K261" s="92">
        <v>7.7499999999999999E-2</v>
      </c>
      <c r="L261" s="63">
        <v>7.4999999999999997E-2</v>
      </c>
      <c r="M261" s="93">
        <v>0.9</v>
      </c>
      <c r="N261" s="94">
        <v>2</v>
      </c>
      <c r="O261" s="94"/>
      <c r="P261" s="93">
        <v>12</v>
      </c>
      <c r="Q261" s="95">
        <f>J261*K261*M261*N261/P261</f>
        <v>116250</v>
      </c>
      <c r="R261" s="94">
        <f t="shared" si="93"/>
        <v>6066560.6589831896</v>
      </c>
      <c r="S261" s="95">
        <f>R261*K261*M261*N261/P261</f>
        <v>70523.767660679572</v>
      </c>
      <c r="T261" s="95">
        <f t="shared" si="94"/>
        <v>45726.232339320428</v>
      </c>
      <c r="U261" s="96">
        <v>0.606656065898319</v>
      </c>
      <c r="V261" s="95"/>
      <c r="W261" s="97"/>
      <c r="X261" s="95">
        <f t="shared" ref="X261:Y327" si="123">R261-V261</f>
        <v>6066560.6589831896</v>
      </c>
      <c r="Y261" s="95">
        <f t="shared" si="123"/>
        <v>70523.767660679572</v>
      </c>
      <c r="Z261" s="98">
        <f t="shared" ref="Z261:AA327" si="124">SUM(X261)</f>
        <v>6066560.6589831896</v>
      </c>
      <c r="AA261" s="98">
        <f t="shared" si="124"/>
        <v>70523.767660679572</v>
      </c>
      <c r="AB261" s="98">
        <v>70523.759999999995</v>
      </c>
      <c r="AC261" s="98"/>
      <c r="AD261" s="98">
        <f t="shared" si="101"/>
        <v>7.6606795773841441E-3</v>
      </c>
      <c r="AE261" s="100">
        <v>0</v>
      </c>
      <c r="AF261" s="100">
        <f>AD261/K261/M261/9*P261</f>
        <v>0.14644070876719989</v>
      </c>
      <c r="AG261" s="100"/>
      <c r="AH261" s="101"/>
      <c r="AI261" s="101"/>
      <c r="AJ261" s="101"/>
      <c r="AK261" s="101"/>
      <c r="AL261" s="101"/>
      <c r="AM261" s="104">
        <f t="shared" si="121"/>
        <v>7.6606795773841441E-3</v>
      </c>
      <c r="AN261" s="104"/>
      <c r="AO261" s="104"/>
      <c r="AP261" s="104"/>
      <c r="AQ261" s="104">
        <f t="shared" si="119"/>
        <v>7.6606795773841441E-3</v>
      </c>
      <c r="AR261" s="104"/>
      <c r="AS261" s="104">
        <f t="shared" si="102"/>
        <v>7.6606795773841441E-3</v>
      </c>
      <c r="AT261" s="104">
        <f t="shared" si="103"/>
        <v>0</v>
      </c>
      <c r="AU261" s="181">
        <f>AD261/K261/M261/8*P261</f>
        <v>0.16474579736309988</v>
      </c>
      <c r="AV261" s="106"/>
      <c r="AW261" s="106"/>
      <c r="AX261" s="107"/>
      <c r="AY261" s="107"/>
      <c r="AZ261" s="107"/>
      <c r="BA261" s="107"/>
      <c r="BB261" s="108">
        <f t="shared" si="122"/>
        <v>0.16474579736309988</v>
      </c>
      <c r="BC261" s="108">
        <f>AM261/K261/M261/7*P261</f>
        <v>0.18828091127211413</v>
      </c>
      <c r="BD261" s="109"/>
      <c r="BE261" s="109"/>
      <c r="BF261" s="109"/>
      <c r="BG261" s="110">
        <f>AQ261/K261/M261/6*P261</f>
        <v>0.21966106315079983</v>
      </c>
      <c r="BH261" s="110"/>
      <c r="BI261" s="110">
        <f t="shared" si="104"/>
        <v>7.6606795773841441E-3</v>
      </c>
      <c r="BJ261" s="116">
        <f t="shared" si="105"/>
        <v>0.34047464788373971</v>
      </c>
      <c r="BK261" s="116"/>
      <c r="BL261" s="79"/>
      <c r="BM261" s="111"/>
    </row>
    <row r="262" spans="1:66" s="211" customFormat="1" ht="25.5" hidden="1">
      <c r="A262" s="194"/>
      <c r="B262" s="151" t="s">
        <v>403</v>
      </c>
      <c r="C262" s="152" t="s">
        <v>404</v>
      </c>
      <c r="D262" s="151"/>
      <c r="E262" s="117"/>
      <c r="F262" s="151"/>
      <c r="G262" s="151"/>
      <c r="H262" s="195"/>
      <c r="I262" s="195"/>
      <c r="J262" s="196"/>
      <c r="K262" s="197"/>
      <c r="L262" s="63">
        <v>7.4999999999999997E-2</v>
      </c>
      <c r="M262" s="64">
        <v>0.9</v>
      </c>
      <c r="N262" s="65">
        <v>9</v>
      </c>
      <c r="O262" s="65">
        <v>4</v>
      </c>
      <c r="P262" s="64">
        <v>12</v>
      </c>
      <c r="Q262" s="198"/>
      <c r="R262" s="198"/>
      <c r="S262" s="198"/>
      <c r="T262" s="198"/>
      <c r="U262" s="199"/>
      <c r="V262" s="198"/>
      <c r="W262" s="200"/>
      <c r="X262" s="198"/>
      <c r="Y262" s="198"/>
      <c r="Z262" s="201"/>
      <c r="AA262" s="201"/>
      <c r="AB262" s="201"/>
      <c r="AC262" s="201"/>
      <c r="AD262" s="201"/>
      <c r="AE262" s="202"/>
      <c r="AF262" s="202"/>
      <c r="AG262" s="202"/>
      <c r="AH262" s="203"/>
      <c r="AI262" s="203"/>
      <c r="AJ262" s="203"/>
      <c r="AK262" s="203"/>
      <c r="AL262" s="203"/>
      <c r="AM262" s="204"/>
      <c r="AN262" s="204"/>
      <c r="AO262" s="204"/>
      <c r="AP262" s="204"/>
      <c r="AQ262" s="204"/>
      <c r="AR262" s="204"/>
      <c r="AS262" s="69">
        <f t="shared" si="102"/>
        <v>0</v>
      </c>
      <c r="AT262" s="69">
        <f t="shared" si="103"/>
        <v>0</v>
      </c>
      <c r="AU262" s="205"/>
      <c r="AV262" s="206"/>
      <c r="AW262" s="206"/>
      <c r="AX262" s="207"/>
      <c r="AY262" s="207"/>
      <c r="AZ262" s="207"/>
      <c r="BA262" s="207"/>
      <c r="BB262" s="208"/>
      <c r="BC262" s="208"/>
      <c r="BD262" s="209"/>
      <c r="BE262" s="209"/>
      <c r="BF262" s="209"/>
      <c r="BG262" s="210"/>
      <c r="BH262" s="210"/>
      <c r="BI262" s="78">
        <f t="shared" si="104"/>
        <v>0</v>
      </c>
      <c r="BJ262" s="79">
        <f t="shared" si="105"/>
        <v>0</v>
      </c>
      <c r="BK262" s="79"/>
      <c r="BL262" s="143">
        <v>8000000</v>
      </c>
      <c r="BM262" s="315" t="s">
        <v>99</v>
      </c>
      <c r="BN262" s="211" t="s">
        <v>141</v>
      </c>
    </row>
    <row r="263" spans="1:66" s="185" customFormat="1" ht="25.5">
      <c r="A263" s="171">
        <f>A261+1</f>
        <v>195</v>
      </c>
      <c r="B263" s="87" t="s">
        <v>405</v>
      </c>
      <c r="C263" s="172" t="s">
        <v>406</v>
      </c>
      <c r="D263" s="87" t="s">
        <v>64</v>
      </c>
      <c r="E263" s="87" t="s">
        <v>65</v>
      </c>
      <c r="F263" s="87"/>
      <c r="G263" s="87"/>
      <c r="H263" s="174">
        <v>43525</v>
      </c>
      <c r="I263" s="189" t="s">
        <v>128</v>
      </c>
      <c r="J263" s="175">
        <v>2000000</v>
      </c>
      <c r="K263" s="121">
        <v>7.7499999999999999E-2</v>
      </c>
      <c r="L263" s="63">
        <v>7.4999999999999997E-2</v>
      </c>
      <c r="M263" s="176">
        <v>0.9</v>
      </c>
      <c r="N263" s="177">
        <v>9</v>
      </c>
      <c r="O263" s="177"/>
      <c r="P263" s="176">
        <v>12</v>
      </c>
      <c r="Q263" s="177">
        <f>J263*K263*M263*N263/P263</f>
        <v>104625</v>
      </c>
      <c r="R263" s="177">
        <f t="shared" ref="R263:R327" si="125">J263*0.606656065898319</f>
        <v>1213312.131796638</v>
      </c>
      <c r="S263" s="177">
        <f>R263*K263*M263*N263/P263</f>
        <v>63471.390894611628</v>
      </c>
      <c r="T263" s="177">
        <f t="shared" ref="T263:T327" si="126">Q263-S263</f>
        <v>41153.609105388372</v>
      </c>
      <c r="U263" s="178">
        <v>0.606656065898319</v>
      </c>
      <c r="V263" s="177"/>
      <c r="W263" s="176"/>
      <c r="X263" s="177">
        <f t="shared" si="123"/>
        <v>1213312.131796638</v>
      </c>
      <c r="Y263" s="177">
        <f t="shared" si="123"/>
        <v>63471.390894611628</v>
      </c>
      <c r="Z263" s="179">
        <f t="shared" si="124"/>
        <v>1213312.131796638</v>
      </c>
      <c r="AA263" s="179">
        <f t="shared" si="124"/>
        <v>63471.390894611628</v>
      </c>
      <c r="AB263" s="179"/>
      <c r="AC263" s="179"/>
      <c r="AD263" s="179">
        <f t="shared" si="101"/>
        <v>63471.390894611628</v>
      </c>
      <c r="AE263" s="180">
        <v>1091980.9186169743</v>
      </c>
      <c r="AF263" s="180">
        <f>AD263/K263/M263/9*P263</f>
        <v>1213312.131796638</v>
      </c>
      <c r="AG263" s="180">
        <v>46500</v>
      </c>
      <c r="AH263" s="104">
        <v>-16971.39</v>
      </c>
      <c r="AI263" s="104"/>
      <c r="AJ263" s="104"/>
      <c r="AK263" s="104"/>
      <c r="AL263" s="104"/>
      <c r="AM263" s="104">
        <f t="shared" si="121"/>
        <v>8.9461162860970944E-4</v>
      </c>
      <c r="AN263" s="104"/>
      <c r="AO263" s="104"/>
      <c r="AP263" s="104"/>
      <c r="AQ263" s="104">
        <f t="shared" si="119"/>
        <v>8.9461162860970944E-4</v>
      </c>
      <c r="AR263" s="104"/>
      <c r="AS263" s="69">
        <f t="shared" si="102"/>
        <v>8.9461162860970944E-4</v>
      </c>
      <c r="AT263" s="104">
        <f t="shared" si="103"/>
        <v>0</v>
      </c>
      <c r="AU263" s="181">
        <f>AD263/K263/M263/8*P263</f>
        <v>1364976.1482712177</v>
      </c>
      <c r="AV263" s="188">
        <v>1000000</v>
      </c>
      <c r="AW263" s="335">
        <v>-364976.15</v>
      </c>
      <c r="AX263" s="182"/>
      <c r="AY263" s="182"/>
      <c r="AZ263" s="182"/>
      <c r="BA263" s="182"/>
      <c r="BB263" s="108">
        <f t="shared" si="122"/>
        <v>-1.728782313875854E-3</v>
      </c>
      <c r="BC263" s="108">
        <f>AM263/K263/M263/7*P263</f>
        <v>2.1987382577197158E-2</v>
      </c>
      <c r="BD263" s="183"/>
      <c r="BE263" s="183"/>
      <c r="BF263" s="183"/>
      <c r="BG263" s="110">
        <f>AQ263/K263/M263/6*P263</f>
        <v>2.5651946340063347E-2</v>
      </c>
      <c r="BH263" s="110"/>
      <c r="BI263" s="110">
        <f t="shared" si="104"/>
        <v>8.9461162860970944E-4</v>
      </c>
      <c r="BJ263" s="116">
        <f t="shared" si="105"/>
        <v>3.9760516827098198E-2</v>
      </c>
      <c r="BK263" s="116"/>
      <c r="BL263" s="79"/>
      <c r="BM263" s="184"/>
    </row>
    <row r="264" spans="1:66" s="5" customFormat="1" hidden="1">
      <c r="A264" s="126"/>
      <c r="B264" s="117" t="s">
        <v>405</v>
      </c>
      <c r="C264" s="118" t="s">
        <v>406</v>
      </c>
      <c r="D264" s="127"/>
      <c r="E264" s="127" t="s">
        <v>65</v>
      </c>
      <c r="F264" s="127"/>
      <c r="G264" s="127"/>
      <c r="H264" s="129"/>
      <c r="I264" s="329"/>
      <c r="J264" s="130"/>
      <c r="K264" s="142"/>
      <c r="L264" s="63">
        <v>7.4999999999999997E-2</v>
      </c>
      <c r="M264" s="64">
        <v>0.9</v>
      </c>
      <c r="N264" s="65">
        <v>9</v>
      </c>
      <c r="O264" s="65">
        <v>4</v>
      </c>
      <c r="P264" s="64">
        <v>12</v>
      </c>
      <c r="Q264" s="131"/>
      <c r="R264" s="131"/>
      <c r="S264" s="131"/>
      <c r="T264" s="131"/>
      <c r="U264" s="132"/>
      <c r="V264" s="131"/>
      <c r="W264" s="133"/>
      <c r="X264" s="131"/>
      <c r="Y264" s="131"/>
      <c r="Z264" s="134"/>
      <c r="AA264" s="134"/>
      <c r="AB264" s="134"/>
      <c r="AC264" s="134"/>
      <c r="AD264" s="134"/>
      <c r="AE264" s="135"/>
      <c r="AF264" s="135"/>
      <c r="AG264" s="135"/>
      <c r="AH264" s="70"/>
      <c r="AI264" s="70"/>
      <c r="AJ264" s="70"/>
      <c r="AK264" s="70"/>
      <c r="AL264" s="70"/>
      <c r="AM264" s="70"/>
      <c r="AN264" s="70"/>
      <c r="AO264" s="70"/>
      <c r="AP264" s="70"/>
      <c r="AQ264" s="70"/>
      <c r="AR264" s="70"/>
      <c r="AS264" s="69">
        <f t="shared" si="102"/>
        <v>0</v>
      </c>
      <c r="AT264" s="69">
        <f t="shared" si="103"/>
        <v>0</v>
      </c>
      <c r="AU264" s="136"/>
      <c r="AV264" s="336"/>
      <c r="AW264" s="337"/>
      <c r="AX264" s="74"/>
      <c r="AY264" s="74"/>
      <c r="AZ264" s="74"/>
      <c r="BA264" s="74"/>
      <c r="BB264" s="137"/>
      <c r="BC264" s="137"/>
      <c r="BD264" s="138"/>
      <c r="BE264" s="138"/>
      <c r="BF264" s="138"/>
      <c r="BG264" s="168"/>
      <c r="BH264" s="168"/>
      <c r="BI264" s="78">
        <f t="shared" si="104"/>
        <v>0</v>
      </c>
      <c r="BJ264" s="79">
        <f t="shared" si="105"/>
        <v>0</v>
      </c>
      <c r="BK264" s="79"/>
      <c r="BL264" s="169">
        <v>1000000</v>
      </c>
      <c r="BM264" s="186" t="s">
        <v>72</v>
      </c>
      <c r="BN264" s="170" t="s">
        <v>73</v>
      </c>
    </row>
    <row r="265" spans="1:66" s="185" customFormat="1" ht="25.5">
      <c r="A265" s="171">
        <f>A263+1</f>
        <v>196</v>
      </c>
      <c r="B265" s="87" t="s">
        <v>407</v>
      </c>
      <c r="C265" s="172" t="s">
        <v>408</v>
      </c>
      <c r="D265" s="87" t="s">
        <v>64</v>
      </c>
      <c r="E265" s="87" t="s">
        <v>98</v>
      </c>
      <c r="F265" s="87"/>
      <c r="G265" s="87"/>
      <c r="H265" s="174">
        <v>43497</v>
      </c>
      <c r="I265" s="174">
        <v>43497</v>
      </c>
      <c r="J265" s="175">
        <v>8000000</v>
      </c>
      <c r="K265" s="121">
        <v>7.7499999999999999E-2</v>
      </c>
      <c r="L265" s="63">
        <v>7.4999999999999997E-2</v>
      </c>
      <c r="M265" s="176">
        <v>0.9</v>
      </c>
      <c r="N265" s="177">
        <v>10</v>
      </c>
      <c r="O265" s="177"/>
      <c r="P265" s="176">
        <v>12</v>
      </c>
      <c r="Q265" s="177">
        <f>J265*K265*M265*N265/P265</f>
        <v>465000</v>
      </c>
      <c r="R265" s="177">
        <f t="shared" si="125"/>
        <v>4853248.5271865521</v>
      </c>
      <c r="S265" s="177">
        <f>R265*K265*M265*N265/P265</f>
        <v>282095.07064271835</v>
      </c>
      <c r="T265" s="177">
        <f t="shared" si="126"/>
        <v>182904.92935728165</v>
      </c>
      <c r="U265" s="178">
        <v>0.606656065898319</v>
      </c>
      <c r="V265" s="177"/>
      <c r="W265" s="176"/>
      <c r="X265" s="177">
        <f t="shared" si="123"/>
        <v>4853248.5271865521</v>
      </c>
      <c r="Y265" s="177">
        <f t="shared" si="123"/>
        <v>282095.07064271835</v>
      </c>
      <c r="Z265" s="179">
        <f t="shared" si="124"/>
        <v>4853248.5271865521</v>
      </c>
      <c r="AA265" s="179">
        <f t="shared" si="124"/>
        <v>282095.07064271835</v>
      </c>
      <c r="AB265" s="179">
        <v>282080.62</v>
      </c>
      <c r="AC265" s="179"/>
      <c r="AD265" s="179">
        <f t="shared" si="101"/>
        <v>14.450642718351446</v>
      </c>
      <c r="AE265" s="180">
        <v>248.52718655206263</v>
      </c>
      <c r="AF265" s="180">
        <f>AD265/K265/M265/9*P265</f>
        <v>276.23689784184364</v>
      </c>
      <c r="AG265" s="180"/>
      <c r="AH265" s="104"/>
      <c r="AI265" s="104"/>
      <c r="AJ265" s="104"/>
      <c r="AK265" s="104"/>
      <c r="AL265" s="104"/>
      <c r="AM265" s="104">
        <f t="shared" si="121"/>
        <v>14.450642718351446</v>
      </c>
      <c r="AN265" s="104"/>
      <c r="AO265" s="104"/>
      <c r="AP265" s="104"/>
      <c r="AQ265" s="104">
        <f t="shared" si="119"/>
        <v>14.450642718351446</v>
      </c>
      <c r="AR265" s="104"/>
      <c r="AS265" s="69">
        <f t="shared" si="102"/>
        <v>14.450642718351446</v>
      </c>
      <c r="AT265" s="104">
        <f t="shared" si="103"/>
        <v>0</v>
      </c>
      <c r="AU265" s="181">
        <f>AD265/K265/M265/8*P265</f>
        <v>310.76651007207408</v>
      </c>
      <c r="AV265" s="181"/>
      <c r="AW265" s="181"/>
      <c r="AX265" s="182"/>
      <c r="AY265" s="182"/>
      <c r="AZ265" s="182"/>
      <c r="BA265" s="182"/>
      <c r="BB265" s="108">
        <f t="shared" si="122"/>
        <v>310.76651007207408</v>
      </c>
      <c r="BC265" s="108">
        <f>AM265/K265/M265/7*P265</f>
        <v>355.16172579665613</v>
      </c>
      <c r="BD265" s="183"/>
      <c r="BE265" s="183"/>
      <c r="BF265" s="183"/>
      <c r="BG265" s="110">
        <f>AQ265/K265/M265/6*P265</f>
        <v>414.35534676276546</v>
      </c>
      <c r="BH265" s="110"/>
      <c r="BI265" s="110">
        <f t="shared" si="104"/>
        <v>14.450642718351446</v>
      </c>
      <c r="BJ265" s="116">
        <f t="shared" si="105"/>
        <v>642.25078748228657</v>
      </c>
      <c r="BK265" s="116"/>
      <c r="BL265" s="79"/>
      <c r="BM265" s="184"/>
    </row>
    <row r="266" spans="1:66" s="185" customFormat="1" ht="25.5" hidden="1">
      <c r="A266" s="126"/>
      <c r="B266" s="117" t="s">
        <v>407</v>
      </c>
      <c r="C266" s="118" t="s">
        <v>408</v>
      </c>
      <c r="D266" s="127"/>
      <c r="E266" s="127"/>
      <c r="F266" s="127"/>
      <c r="G266" s="127"/>
      <c r="H266" s="129"/>
      <c r="I266" s="129"/>
      <c r="J266" s="130"/>
      <c r="K266" s="142"/>
      <c r="L266" s="142">
        <v>7.4999999999999997E-2</v>
      </c>
      <c r="M266" s="133">
        <v>0.9</v>
      </c>
      <c r="N266" s="131">
        <v>9</v>
      </c>
      <c r="O266" s="131">
        <v>4</v>
      </c>
      <c r="P266" s="133">
        <v>12</v>
      </c>
      <c r="Q266" s="131"/>
      <c r="R266" s="131"/>
      <c r="S266" s="131"/>
      <c r="T266" s="131"/>
      <c r="U266" s="132"/>
      <c r="V266" s="131"/>
      <c r="W266" s="133"/>
      <c r="X266" s="131"/>
      <c r="Y266" s="131"/>
      <c r="Z266" s="134"/>
      <c r="AA266" s="134"/>
      <c r="AB266" s="134"/>
      <c r="AC266" s="134"/>
      <c r="AD266" s="134"/>
      <c r="AE266" s="135"/>
      <c r="AF266" s="135"/>
      <c r="AG266" s="135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69">
        <f t="shared" ref="AS266:AS326" si="127">AQ266-AR266</f>
        <v>0</v>
      </c>
      <c r="AT266" s="69">
        <f t="shared" ref="AT266:AT326" si="128">BK266*L266*M266*4/P266</f>
        <v>0</v>
      </c>
      <c r="AU266" s="181"/>
      <c r="AV266" s="181"/>
      <c r="AW266" s="181"/>
      <c r="AX266" s="182"/>
      <c r="AY266" s="182"/>
      <c r="AZ266" s="182"/>
      <c r="BA266" s="182"/>
      <c r="BB266" s="108"/>
      <c r="BC266" s="108"/>
      <c r="BD266" s="183"/>
      <c r="BE266" s="183"/>
      <c r="BF266" s="183"/>
      <c r="BG266" s="110"/>
      <c r="BH266" s="110"/>
      <c r="BI266" s="78">
        <f t="shared" ref="BI266:BI327" si="129">AS266-AT266</f>
        <v>0</v>
      </c>
      <c r="BJ266" s="79">
        <f t="shared" ref="BJ266:BJ327" si="130">AS266/L266/M266/4*P266</f>
        <v>0</v>
      </c>
      <c r="BK266" s="79"/>
      <c r="BL266" s="79">
        <v>10000000</v>
      </c>
      <c r="BM266" s="144" t="s">
        <v>99</v>
      </c>
      <c r="BN266" s="145" t="s">
        <v>141</v>
      </c>
    </row>
    <row r="267" spans="1:66" s="112" customFormat="1" ht="89.25">
      <c r="A267" s="84">
        <f>A265+1</f>
        <v>197</v>
      </c>
      <c r="B267" s="338" t="s">
        <v>409</v>
      </c>
      <c r="C267" s="339" t="s">
        <v>410</v>
      </c>
      <c r="D267" s="340" t="s">
        <v>411</v>
      </c>
      <c r="E267" s="341" t="s">
        <v>65</v>
      </c>
      <c r="F267" s="342"/>
      <c r="G267" s="342"/>
      <c r="H267" s="343">
        <v>43497</v>
      </c>
      <c r="I267" s="343">
        <v>43497</v>
      </c>
      <c r="J267" s="95">
        <v>0</v>
      </c>
      <c r="K267" s="92">
        <v>7.7499999999999999E-2</v>
      </c>
      <c r="L267" s="63">
        <v>7.4999999999999997E-2</v>
      </c>
      <c r="M267" s="93">
        <v>0.9</v>
      </c>
      <c r="N267" s="94">
        <v>10</v>
      </c>
      <c r="O267" s="94"/>
      <c r="P267" s="93">
        <v>12</v>
      </c>
      <c r="Q267" s="95">
        <f>J267*K267*M267*N267/P267</f>
        <v>0</v>
      </c>
      <c r="R267" s="94">
        <f t="shared" si="125"/>
        <v>0</v>
      </c>
      <c r="S267" s="95">
        <f>R267*K267*M267*N267/P267</f>
        <v>0</v>
      </c>
      <c r="T267" s="95">
        <f t="shared" si="126"/>
        <v>0</v>
      </c>
      <c r="U267" s="96">
        <v>0.606656065898319</v>
      </c>
      <c r="V267" s="254">
        <v>5000000</v>
      </c>
      <c r="W267" s="122">
        <v>290625</v>
      </c>
      <c r="X267" s="95">
        <f t="shared" si="123"/>
        <v>-5000000</v>
      </c>
      <c r="Y267" s="95">
        <f t="shared" si="123"/>
        <v>-290625</v>
      </c>
      <c r="Z267" s="98">
        <f t="shared" si="124"/>
        <v>-5000000</v>
      </c>
      <c r="AA267" s="98">
        <f t="shared" si="124"/>
        <v>-290625</v>
      </c>
      <c r="AB267" s="98"/>
      <c r="AC267" s="98"/>
      <c r="AD267" s="98">
        <f t="shared" ref="AD267:AD326" si="131">AA267-AB267-AC267</f>
        <v>-290625</v>
      </c>
      <c r="AE267" s="100">
        <v>-5000000</v>
      </c>
      <c r="AF267" s="100">
        <f>AD267/K267/M267/9*P267</f>
        <v>-5555555.555555555</v>
      </c>
      <c r="AG267" s="100"/>
      <c r="AH267" s="101"/>
      <c r="AI267" s="101"/>
      <c r="AJ267" s="101"/>
      <c r="AK267" s="101"/>
      <c r="AL267" s="101"/>
      <c r="AM267" s="104">
        <f t="shared" si="121"/>
        <v>-290625</v>
      </c>
      <c r="AN267" s="104"/>
      <c r="AO267" s="104"/>
      <c r="AP267" s="104"/>
      <c r="AQ267" s="104">
        <f t="shared" si="119"/>
        <v>-290625</v>
      </c>
      <c r="AR267" s="104"/>
      <c r="AS267" s="104">
        <f t="shared" si="127"/>
        <v>-290625</v>
      </c>
      <c r="AT267" s="104">
        <f t="shared" si="128"/>
        <v>0</v>
      </c>
      <c r="AU267" s="105">
        <f>AD267/K267/M267/8*P267</f>
        <v>-6250000</v>
      </c>
      <c r="AV267" s="106"/>
      <c r="AW267" s="106"/>
      <c r="AX267" s="107"/>
      <c r="AY267" s="107"/>
      <c r="AZ267" s="107"/>
      <c r="BA267" s="107"/>
      <c r="BB267" s="108">
        <f t="shared" si="122"/>
        <v>-6250000</v>
      </c>
      <c r="BC267" s="108">
        <f>AM267/K267/M267/7*P267</f>
        <v>-7142857.1428571437</v>
      </c>
      <c r="BD267" s="109"/>
      <c r="BE267" s="109"/>
      <c r="BF267" s="109"/>
      <c r="BG267" s="110">
        <f>AQ267/K267/M267/6*P267</f>
        <v>-8333333.3333333321</v>
      </c>
      <c r="BH267" s="110"/>
      <c r="BI267" s="110">
        <f t="shared" si="129"/>
        <v>-290625</v>
      </c>
      <c r="BJ267" s="123">
        <f t="shared" si="130"/>
        <v>-12916666.666666664</v>
      </c>
      <c r="BK267" s="116"/>
      <c r="BL267" s="79"/>
      <c r="BM267" s="111"/>
    </row>
    <row r="268" spans="1:66" s="170" customFormat="1" ht="25.5" hidden="1">
      <c r="A268" s="150"/>
      <c r="B268" s="344" t="s">
        <v>412</v>
      </c>
      <c r="C268" s="345" t="s">
        <v>413</v>
      </c>
      <c r="D268" s="346"/>
      <c r="E268" s="347" t="s">
        <v>65</v>
      </c>
      <c r="F268" s="346"/>
      <c r="G268" s="346"/>
      <c r="H268" s="348"/>
      <c r="I268" s="348"/>
      <c r="J268" s="158"/>
      <c r="K268" s="157"/>
      <c r="L268" s="63">
        <v>7.4999999999999997E-2</v>
      </c>
      <c r="M268" s="64">
        <v>0.9</v>
      </c>
      <c r="N268" s="65">
        <v>9</v>
      </c>
      <c r="O268" s="65">
        <v>4</v>
      </c>
      <c r="P268" s="64">
        <v>12</v>
      </c>
      <c r="Q268" s="158"/>
      <c r="R268" s="158"/>
      <c r="S268" s="158"/>
      <c r="T268" s="158"/>
      <c r="U268" s="159"/>
      <c r="V268" s="192"/>
      <c r="W268" s="193"/>
      <c r="X268" s="158"/>
      <c r="Y268" s="158"/>
      <c r="Z268" s="161"/>
      <c r="AA268" s="161"/>
      <c r="AB268" s="161"/>
      <c r="AC268" s="161"/>
      <c r="AD268" s="161"/>
      <c r="AE268" s="163"/>
      <c r="AF268" s="163"/>
      <c r="AG268" s="163"/>
      <c r="AH268" s="102"/>
      <c r="AI268" s="102"/>
      <c r="AJ268" s="102"/>
      <c r="AK268" s="102"/>
      <c r="AL268" s="102"/>
      <c r="AM268" s="70"/>
      <c r="AN268" s="70"/>
      <c r="AO268" s="70"/>
      <c r="AP268" s="70"/>
      <c r="AQ268" s="70"/>
      <c r="AR268" s="70"/>
      <c r="AS268" s="69">
        <f t="shared" si="127"/>
        <v>0</v>
      </c>
      <c r="AT268" s="69">
        <f t="shared" si="128"/>
        <v>0</v>
      </c>
      <c r="AU268" s="164"/>
      <c r="AV268" s="165"/>
      <c r="AW268" s="165"/>
      <c r="AX268" s="166"/>
      <c r="AY268" s="166"/>
      <c r="AZ268" s="166"/>
      <c r="BA268" s="166"/>
      <c r="BB268" s="137"/>
      <c r="BC268" s="137"/>
      <c r="BD268" s="167"/>
      <c r="BE268" s="167"/>
      <c r="BF268" s="167"/>
      <c r="BG268" s="168"/>
      <c r="BH268" s="168"/>
      <c r="BI268" s="78">
        <f t="shared" si="129"/>
        <v>0</v>
      </c>
      <c r="BJ268" s="79">
        <f t="shared" si="130"/>
        <v>0</v>
      </c>
      <c r="BK268" s="79"/>
      <c r="BL268" s="169">
        <v>10000000</v>
      </c>
      <c r="BM268" s="144" t="s">
        <v>99</v>
      </c>
      <c r="BN268" s="145" t="s">
        <v>73</v>
      </c>
    </row>
    <row r="269" spans="1:66" s="112" customFormat="1" ht="25.5">
      <c r="A269" s="84">
        <f>A267+1</f>
        <v>198</v>
      </c>
      <c r="B269" s="85" t="s">
        <v>414</v>
      </c>
      <c r="C269" s="86" t="s">
        <v>415</v>
      </c>
      <c r="D269" s="85" t="s">
        <v>64</v>
      </c>
      <c r="E269" s="87" t="s">
        <v>98</v>
      </c>
      <c r="F269" s="89"/>
      <c r="G269" s="89"/>
      <c r="H269" s="90">
        <v>43497</v>
      </c>
      <c r="I269" s="90">
        <v>43497</v>
      </c>
      <c r="J269" s="91">
        <v>15000000</v>
      </c>
      <c r="K269" s="92">
        <v>7.7499999999999999E-2</v>
      </c>
      <c r="L269" s="63">
        <v>7.4999999999999997E-2</v>
      </c>
      <c r="M269" s="93">
        <v>0.9</v>
      </c>
      <c r="N269" s="94">
        <v>10</v>
      </c>
      <c r="O269" s="94"/>
      <c r="P269" s="93">
        <v>12</v>
      </c>
      <c r="Q269" s="95">
        <f>J269*K269*M269*N269/P269</f>
        <v>871875</v>
      </c>
      <c r="R269" s="94">
        <f t="shared" si="125"/>
        <v>9099840.9884747844</v>
      </c>
      <c r="S269" s="95">
        <f>R269*K269*M269*N269/P269</f>
        <v>528928.25745509693</v>
      </c>
      <c r="T269" s="95">
        <f t="shared" si="126"/>
        <v>342946.74254490307</v>
      </c>
      <c r="U269" s="96">
        <v>0.606656065898319</v>
      </c>
      <c r="V269" s="94"/>
      <c r="W269" s="97"/>
      <c r="X269" s="95">
        <f t="shared" si="123"/>
        <v>9099840.9884747844</v>
      </c>
      <c r="Y269" s="95">
        <f t="shared" si="123"/>
        <v>528928.25745509693</v>
      </c>
      <c r="Z269" s="98">
        <f t="shared" si="124"/>
        <v>9099840.9884747844</v>
      </c>
      <c r="AA269" s="98">
        <f>SUM(Y269)-80195.87</f>
        <v>448732.38745509693</v>
      </c>
      <c r="AB269" s="98">
        <f>871874.99-AB270</f>
        <v>448732.39</v>
      </c>
      <c r="AC269" s="98"/>
      <c r="AD269" s="98">
        <f t="shared" si="131"/>
        <v>-2.5449030799791217E-3</v>
      </c>
      <c r="AE269" s="100">
        <v>5.8824505656957626E-2</v>
      </c>
      <c r="AF269" s="100">
        <f>AD269/K269/M269/9*P269</f>
        <v>-4.8648087550377472E-2</v>
      </c>
      <c r="AG269" s="100"/>
      <c r="AH269" s="101"/>
      <c r="AI269" s="101"/>
      <c r="AJ269" s="101"/>
      <c r="AK269" s="101"/>
      <c r="AL269" s="101"/>
      <c r="AM269" s="104">
        <f t="shared" si="121"/>
        <v>-2.5449030799791217E-3</v>
      </c>
      <c r="AN269" s="104"/>
      <c r="AO269" s="104"/>
      <c r="AP269" s="104"/>
      <c r="AQ269" s="104">
        <f t="shared" si="119"/>
        <v>-2.5449030799791217E-3</v>
      </c>
      <c r="AR269" s="104"/>
      <c r="AS269" s="104">
        <f t="shared" si="127"/>
        <v>-2.5449030799791217E-3</v>
      </c>
      <c r="AT269" s="104">
        <f t="shared" si="128"/>
        <v>0</v>
      </c>
      <c r="AU269" s="105">
        <f>AD269/K269/M269/8*P269</f>
        <v>-5.4729098494174656E-2</v>
      </c>
      <c r="AV269" s="106"/>
      <c r="AW269" s="106"/>
      <c r="AX269" s="107"/>
      <c r="AY269" s="107"/>
      <c r="AZ269" s="107"/>
      <c r="BA269" s="107"/>
      <c r="BB269" s="108">
        <f t="shared" si="122"/>
        <v>-5.4729098494174656E-2</v>
      </c>
      <c r="BC269" s="108">
        <f>AM269/K269/M269/7*P269</f>
        <v>-6.2547541136199605E-2</v>
      </c>
      <c r="BD269" s="109"/>
      <c r="BE269" s="109"/>
      <c r="BF269" s="109"/>
      <c r="BG269" s="110">
        <f>AQ269/K269/M269/6*P269</f>
        <v>-7.2972131325566209E-2</v>
      </c>
      <c r="BH269" s="110"/>
      <c r="BI269" s="110">
        <f t="shared" si="129"/>
        <v>-2.5449030799791217E-3</v>
      </c>
      <c r="BJ269" s="116">
        <f t="shared" si="130"/>
        <v>-0.11310680355462766</v>
      </c>
      <c r="BK269" s="116"/>
      <c r="BL269" s="79"/>
      <c r="BM269" s="111"/>
    </row>
    <row r="270" spans="1:66" s="112" customFormat="1" ht="25.5">
      <c r="A270" s="84">
        <f t="shared" si="120"/>
        <v>199</v>
      </c>
      <c r="B270" s="85" t="s">
        <v>414</v>
      </c>
      <c r="C270" s="86" t="s">
        <v>416</v>
      </c>
      <c r="D270" s="85" t="s">
        <v>111</v>
      </c>
      <c r="E270" s="87" t="s">
        <v>98</v>
      </c>
      <c r="F270" s="89"/>
      <c r="G270" s="89"/>
      <c r="H270" s="90">
        <v>43556</v>
      </c>
      <c r="I270" s="90">
        <v>43556</v>
      </c>
      <c r="J270" s="91">
        <v>15000000</v>
      </c>
      <c r="K270" s="92">
        <v>7.7499999999999999E-2</v>
      </c>
      <c r="L270" s="63">
        <v>7.4999999999999997E-2</v>
      </c>
      <c r="M270" s="93">
        <v>0.9</v>
      </c>
      <c r="N270" s="94">
        <v>8</v>
      </c>
      <c r="O270" s="94"/>
      <c r="P270" s="93">
        <v>12</v>
      </c>
      <c r="Q270" s="95">
        <f>J270*K270*M270*N270/P270</f>
        <v>697500</v>
      </c>
      <c r="R270" s="94">
        <f t="shared" si="125"/>
        <v>9099840.9884747844</v>
      </c>
      <c r="S270" s="95">
        <f>R270*K270*M270*N270/P270</f>
        <v>423142.60596407746</v>
      </c>
      <c r="T270" s="95">
        <f t="shared" si="126"/>
        <v>274357.39403592254</v>
      </c>
      <c r="U270" s="96">
        <v>0.606656065898319</v>
      </c>
      <c r="V270" s="94"/>
      <c r="W270" s="97"/>
      <c r="X270" s="95">
        <f t="shared" si="123"/>
        <v>9099840.9884747844</v>
      </c>
      <c r="Y270" s="95">
        <f t="shared" si="123"/>
        <v>423142.60596407746</v>
      </c>
      <c r="Z270" s="98">
        <f t="shared" si="124"/>
        <v>9099840.9884747844</v>
      </c>
      <c r="AA270" s="98">
        <f t="shared" si="124"/>
        <v>423142.60596407746</v>
      </c>
      <c r="AB270" s="98">
        <v>423142.6</v>
      </c>
      <c r="AC270" s="98"/>
      <c r="AD270" s="98">
        <f t="shared" si="131"/>
        <v>5.9640774852596223E-3</v>
      </c>
      <c r="AE270" s="100">
        <v>0</v>
      </c>
      <c r="AF270" s="100">
        <f>AD270/K270/M270/9*P270</f>
        <v>0.11400864965848742</v>
      </c>
      <c r="AG270" s="100"/>
      <c r="AH270" s="101"/>
      <c r="AI270" s="101"/>
      <c r="AJ270" s="101"/>
      <c r="AK270" s="101"/>
      <c r="AL270" s="101"/>
      <c r="AM270" s="104">
        <f t="shared" si="121"/>
        <v>5.9640774852596223E-3</v>
      </c>
      <c r="AN270" s="104"/>
      <c r="AO270" s="104"/>
      <c r="AP270" s="104"/>
      <c r="AQ270" s="104">
        <f t="shared" si="119"/>
        <v>5.9640774852596223E-3</v>
      </c>
      <c r="AR270" s="104"/>
      <c r="AS270" s="104">
        <f t="shared" si="127"/>
        <v>5.9640774852596223E-3</v>
      </c>
      <c r="AT270" s="104">
        <f t="shared" si="128"/>
        <v>0</v>
      </c>
      <c r="AU270" s="181">
        <f>AD270/K270/M270/8*P270</f>
        <v>0.12825973086579834</v>
      </c>
      <c r="AV270" s="106"/>
      <c r="AW270" s="106"/>
      <c r="AX270" s="107"/>
      <c r="AY270" s="107"/>
      <c r="AZ270" s="107"/>
      <c r="BA270" s="107"/>
      <c r="BB270" s="108">
        <f t="shared" si="122"/>
        <v>0.12825973086579834</v>
      </c>
      <c r="BC270" s="108">
        <f>AM270/K270/M270/7*P270</f>
        <v>0.14658254956091238</v>
      </c>
      <c r="BD270" s="109"/>
      <c r="BE270" s="109"/>
      <c r="BF270" s="109"/>
      <c r="BG270" s="110">
        <f>AQ270/K270/M270/6*P270</f>
        <v>0.17101297448773112</v>
      </c>
      <c r="BH270" s="110"/>
      <c r="BI270" s="110">
        <f t="shared" si="129"/>
        <v>5.9640774852596223E-3</v>
      </c>
      <c r="BJ270" s="116">
        <f t="shared" si="130"/>
        <v>0.26507011045598322</v>
      </c>
      <c r="BK270" s="116"/>
      <c r="BL270" s="79"/>
      <c r="BM270" s="111"/>
    </row>
    <row r="271" spans="1:66" s="211" customFormat="1" ht="25.5" hidden="1">
      <c r="A271" s="194"/>
      <c r="B271" s="151" t="s">
        <v>414</v>
      </c>
      <c r="C271" s="152" t="s">
        <v>416</v>
      </c>
      <c r="D271" s="151"/>
      <c r="E271" s="117"/>
      <c r="F271" s="151"/>
      <c r="G271" s="151"/>
      <c r="H271" s="195"/>
      <c r="I271" s="195"/>
      <c r="J271" s="196"/>
      <c r="K271" s="197"/>
      <c r="L271" s="63">
        <v>7.4999999999999997E-2</v>
      </c>
      <c r="M271" s="64">
        <v>0.9</v>
      </c>
      <c r="N271" s="65">
        <v>9</v>
      </c>
      <c r="O271" s="65">
        <v>4</v>
      </c>
      <c r="P271" s="64">
        <v>12</v>
      </c>
      <c r="Q271" s="198"/>
      <c r="R271" s="198"/>
      <c r="S271" s="198"/>
      <c r="T271" s="198"/>
      <c r="U271" s="199"/>
      <c r="V271" s="198"/>
      <c r="W271" s="200"/>
      <c r="X271" s="198"/>
      <c r="Y271" s="198"/>
      <c r="Z271" s="201"/>
      <c r="AA271" s="201"/>
      <c r="AB271" s="201"/>
      <c r="AC271" s="201"/>
      <c r="AD271" s="201"/>
      <c r="AE271" s="202"/>
      <c r="AF271" s="202"/>
      <c r="AG271" s="202"/>
      <c r="AH271" s="203"/>
      <c r="AI271" s="203"/>
      <c r="AJ271" s="203"/>
      <c r="AK271" s="203"/>
      <c r="AL271" s="203"/>
      <c r="AM271" s="204"/>
      <c r="AN271" s="204"/>
      <c r="AO271" s="204"/>
      <c r="AP271" s="204"/>
      <c r="AQ271" s="204"/>
      <c r="AR271" s="204"/>
      <c r="AS271" s="69">
        <f t="shared" si="127"/>
        <v>0</v>
      </c>
      <c r="AT271" s="69">
        <f t="shared" si="128"/>
        <v>0</v>
      </c>
      <c r="AU271" s="205"/>
      <c r="AV271" s="206"/>
      <c r="AW271" s="206"/>
      <c r="AX271" s="207"/>
      <c r="AY271" s="207"/>
      <c r="AZ271" s="207"/>
      <c r="BA271" s="207"/>
      <c r="BB271" s="208"/>
      <c r="BC271" s="208"/>
      <c r="BD271" s="209"/>
      <c r="BE271" s="209"/>
      <c r="BF271" s="209"/>
      <c r="BG271" s="210"/>
      <c r="BH271" s="210"/>
      <c r="BI271" s="78">
        <f t="shared" si="129"/>
        <v>0</v>
      </c>
      <c r="BJ271" s="79">
        <f t="shared" si="130"/>
        <v>0</v>
      </c>
      <c r="BK271" s="79"/>
      <c r="BL271" s="143">
        <v>15000000</v>
      </c>
      <c r="BM271" s="144" t="s">
        <v>99</v>
      </c>
      <c r="BN271" s="145" t="s">
        <v>141</v>
      </c>
    </row>
    <row r="272" spans="1:66" s="112" customFormat="1" ht="25.5">
      <c r="A272" s="84">
        <f>A270+1</f>
        <v>200</v>
      </c>
      <c r="B272" s="85" t="s">
        <v>417</v>
      </c>
      <c r="C272" s="86" t="s">
        <v>418</v>
      </c>
      <c r="D272" s="85" t="s">
        <v>64</v>
      </c>
      <c r="E272" s="87" t="s">
        <v>65</v>
      </c>
      <c r="F272" s="89"/>
      <c r="G272" s="89"/>
      <c r="H272" s="90">
        <v>43525</v>
      </c>
      <c r="I272" s="90">
        <v>43525</v>
      </c>
      <c r="J272" s="91">
        <v>3000000</v>
      </c>
      <c r="K272" s="92">
        <v>7.7499999999999999E-2</v>
      </c>
      <c r="L272" s="63">
        <v>7.4999999999999997E-2</v>
      </c>
      <c r="M272" s="93">
        <v>0.9</v>
      </c>
      <c r="N272" s="94">
        <v>9</v>
      </c>
      <c r="O272" s="94"/>
      <c r="P272" s="93">
        <v>12</v>
      </c>
      <c r="Q272" s="95">
        <f t="shared" ref="Q272:Q278" si="132">J272*K272*M272*N272/P272</f>
        <v>156937.5</v>
      </c>
      <c r="R272" s="94">
        <f t="shared" si="125"/>
        <v>1819968.197694957</v>
      </c>
      <c r="S272" s="95">
        <f t="shared" ref="S272:S278" si="133">R272*K272*M272*N272/P272</f>
        <v>95207.086341917442</v>
      </c>
      <c r="T272" s="95">
        <f t="shared" si="126"/>
        <v>61730.413658082558</v>
      </c>
      <c r="U272" s="96">
        <v>0.606656065898319</v>
      </c>
      <c r="V272" s="94"/>
      <c r="W272" s="97"/>
      <c r="X272" s="95">
        <f t="shared" si="123"/>
        <v>1819968.197694957</v>
      </c>
      <c r="Y272" s="95">
        <f t="shared" si="123"/>
        <v>95207.086341917442</v>
      </c>
      <c r="Z272" s="98">
        <f t="shared" si="124"/>
        <v>1819968.197694957</v>
      </c>
      <c r="AA272" s="98">
        <f t="shared" si="124"/>
        <v>95207.086341917442</v>
      </c>
      <c r="AB272" s="98">
        <v>93216.58</v>
      </c>
      <c r="AC272" s="98"/>
      <c r="AD272" s="98">
        <f t="shared" si="131"/>
        <v>1990.5063419174403</v>
      </c>
      <c r="AE272" s="99">
        <v>-362028.62207453861</v>
      </c>
      <c r="AF272" s="100">
        <f t="shared" ref="AF272:AF278" si="134">AD272/K272/M272/9*P272</f>
        <v>38050.300442866246</v>
      </c>
      <c r="AG272" s="100"/>
      <c r="AH272" s="101"/>
      <c r="AI272" s="101"/>
      <c r="AJ272" s="102"/>
      <c r="AK272" s="102"/>
      <c r="AL272" s="103"/>
      <c r="AM272" s="104">
        <f t="shared" si="121"/>
        <v>1990.5063419174403</v>
      </c>
      <c r="AN272" s="104"/>
      <c r="AO272" s="104"/>
      <c r="AP272" s="104"/>
      <c r="AQ272" s="104">
        <f t="shared" si="119"/>
        <v>1990.5063419174403</v>
      </c>
      <c r="AR272" s="104"/>
      <c r="AS272" s="69">
        <f t="shared" si="127"/>
        <v>1990.5063419174403</v>
      </c>
      <c r="AT272" s="104">
        <f t="shared" si="128"/>
        <v>0</v>
      </c>
      <c r="AU272" s="181">
        <f t="shared" ref="AU272:AU278" si="135">AD272/K272/M272/8*P272</f>
        <v>42806.587998224524</v>
      </c>
      <c r="AV272" s="106"/>
      <c r="AW272" s="106"/>
      <c r="AX272" s="107"/>
      <c r="AY272" s="107"/>
      <c r="AZ272" s="107"/>
      <c r="BA272" s="107"/>
      <c r="BB272" s="108">
        <f t="shared" si="122"/>
        <v>42806.587998224524</v>
      </c>
      <c r="BC272" s="108">
        <f t="shared" ref="BC272:BC278" si="136">AM272/K272/M272/7*P272</f>
        <v>48921.814855113742</v>
      </c>
      <c r="BD272" s="109"/>
      <c r="BE272" s="109"/>
      <c r="BF272" s="109"/>
      <c r="BG272" s="110">
        <f t="shared" ref="BG272:BG278" si="137">AQ272/K272/M272/6*P272</f>
        <v>57075.450664299366</v>
      </c>
      <c r="BH272" s="110"/>
      <c r="BI272" s="110">
        <f t="shared" si="129"/>
        <v>1990.5063419174403</v>
      </c>
      <c r="BJ272" s="116">
        <f t="shared" si="130"/>
        <v>88466.94852966402</v>
      </c>
      <c r="BK272" s="116"/>
      <c r="BL272" s="79"/>
      <c r="BM272" s="111"/>
    </row>
    <row r="273" spans="1:66" s="185" customFormat="1" ht="25.5">
      <c r="A273" s="171">
        <f t="shared" si="120"/>
        <v>201</v>
      </c>
      <c r="B273" s="87" t="s">
        <v>419</v>
      </c>
      <c r="C273" s="172" t="s">
        <v>420</v>
      </c>
      <c r="D273" s="87" t="s">
        <v>64</v>
      </c>
      <c r="E273" s="87" t="s">
        <v>65</v>
      </c>
      <c r="F273" s="87"/>
      <c r="G273" s="87"/>
      <c r="H273" s="174">
        <v>43525</v>
      </c>
      <c r="I273" s="189" t="s">
        <v>128</v>
      </c>
      <c r="J273" s="175">
        <v>800000</v>
      </c>
      <c r="K273" s="121">
        <v>7.7499999999999999E-2</v>
      </c>
      <c r="L273" s="63">
        <v>7.4999999999999997E-2</v>
      </c>
      <c r="M273" s="176">
        <v>0.9</v>
      </c>
      <c r="N273" s="177">
        <v>9</v>
      </c>
      <c r="O273" s="177"/>
      <c r="P273" s="176">
        <v>12</v>
      </c>
      <c r="Q273" s="177">
        <f t="shared" si="132"/>
        <v>41850</v>
      </c>
      <c r="R273" s="177">
        <f t="shared" si="125"/>
        <v>485324.85271865519</v>
      </c>
      <c r="S273" s="177">
        <f t="shared" si="133"/>
        <v>25388.556357844649</v>
      </c>
      <c r="T273" s="177">
        <f t="shared" si="126"/>
        <v>16461.443642155351</v>
      </c>
      <c r="U273" s="178">
        <v>0.606656065898319</v>
      </c>
      <c r="V273" s="177"/>
      <c r="W273" s="176"/>
      <c r="X273" s="177">
        <f t="shared" si="123"/>
        <v>485324.85271865519</v>
      </c>
      <c r="Y273" s="177">
        <f t="shared" si="123"/>
        <v>25388.556357844649</v>
      </c>
      <c r="Z273" s="179">
        <f t="shared" si="124"/>
        <v>485324.85271865519</v>
      </c>
      <c r="AA273" s="179">
        <f t="shared" si="124"/>
        <v>25388.556357844649</v>
      </c>
      <c r="AB273" s="179"/>
      <c r="AC273" s="179"/>
      <c r="AD273" s="179">
        <f t="shared" si="131"/>
        <v>25388.556357844649</v>
      </c>
      <c r="AE273" s="180">
        <v>436792.36744678969</v>
      </c>
      <c r="AF273" s="180">
        <f t="shared" si="134"/>
        <v>485324.85271865514</v>
      </c>
      <c r="AG273" s="180"/>
      <c r="AH273" s="104">
        <v>-25388.560000000001</v>
      </c>
      <c r="AI273" s="104"/>
      <c r="AJ273" s="104"/>
      <c r="AK273" s="104"/>
      <c r="AL273" s="104"/>
      <c r="AM273" s="104">
        <f t="shared" si="121"/>
        <v>-3.6421553522814065E-3</v>
      </c>
      <c r="AN273" s="104"/>
      <c r="AO273" s="104"/>
      <c r="AP273" s="104"/>
      <c r="AQ273" s="104">
        <f t="shared" si="119"/>
        <v>-3.6421553522814065E-3</v>
      </c>
      <c r="AR273" s="104"/>
      <c r="AS273" s="69">
        <f t="shared" si="127"/>
        <v>-3.6421553522814065E-3</v>
      </c>
      <c r="AT273" s="104">
        <f t="shared" si="128"/>
        <v>0</v>
      </c>
      <c r="AU273" s="181">
        <f t="shared" si="135"/>
        <v>545990.45930848713</v>
      </c>
      <c r="AV273" s="181"/>
      <c r="AW273" s="105">
        <v>-545990.46</v>
      </c>
      <c r="AX273" s="182"/>
      <c r="AY273" s="182"/>
      <c r="AZ273" s="182"/>
      <c r="BA273" s="182"/>
      <c r="BB273" s="108">
        <f t="shared" si="122"/>
        <v>-6.9151283241808414E-4</v>
      </c>
      <c r="BC273" s="108">
        <f t="shared" si="136"/>
        <v>-8.9515338919358672E-2</v>
      </c>
      <c r="BD273" s="183"/>
      <c r="BE273" s="183"/>
      <c r="BF273" s="183"/>
      <c r="BG273" s="110">
        <f t="shared" si="137"/>
        <v>-0.10443456207258511</v>
      </c>
      <c r="BH273" s="110"/>
      <c r="BI273" s="110">
        <f t="shared" si="129"/>
        <v>-3.6421553522814065E-3</v>
      </c>
      <c r="BJ273" s="116">
        <f t="shared" si="130"/>
        <v>-0.16187357121250695</v>
      </c>
      <c r="BK273" s="116"/>
      <c r="BL273" s="79"/>
      <c r="BM273" s="184"/>
    </row>
    <row r="274" spans="1:66" s="185" customFormat="1" ht="25.5">
      <c r="A274" s="171">
        <f t="shared" si="120"/>
        <v>202</v>
      </c>
      <c r="B274" s="87" t="s">
        <v>421</v>
      </c>
      <c r="C274" s="172" t="s">
        <v>422</v>
      </c>
      <c r="D274" s="87" t="s">
        <v>64</v>
      </c>
      <c r="E274" s="87" t="s">
        <v>65</v>
      </c>
      <c r="F274" s="87"/>
      <c r="G274" s="87"/>
      <c r="H274" s="174">
        <v>43525</v>
      </c>
      <c r="I274" s="189" t="s">
        <v>128</v>
      </c>
      <c r="J274" s="175">
        <v>1000000</v>
      </c>
      <c r="K274" s="121">
        <v>7.7499999999999999E-2</v>
      </c>
      <c r="L274" s="63">
        <v>7.4999999999999997E-2</v>
      </c>
      <c r="M274" s="176">
        <v>0.9</v>
      </c>
      <c r="N274" s="177">
        <v>9</v>
      </c>
      <c r="O274" s="177"/>
      <c r="P274" s="176">
        <v>12</v>
      </c>
      <c r="Q274" s="177">
        <f t="shared" si="132"/>
        <v>52312.5</v>
      </c>
      <c r="R274" s="177">
        <f t="shared" si="125"/>
        <v>606656.06589831901</v>
      </c>
      <c r="S274" s="177">
        <f t="shared" si="133"/>
        <v>31735.695447305814</v>
      </c>
      <c r="T274" s="177">
        <f t="shared" si="126"/>
        <v>20576.804552694186</v>
      </c>
      <c r="U274" s="178">
        <v>0.606656065898319</v>
      </c>
      <c r="V274" s="177"/>
      <c r="W274" s="176"/>
      <c r="X274" s="177">
        <f t="shared" si="123"/>
        <v>606656.06589831901</v>
      </c>
      <c r="Y274" s="177">
        <f t="shared" si="123"/>
        <v>31735.695447305814</v>
      </c>
      <c r="Z274" s="179">
        <f t="shared" si="124"/>
        <v>606656.06589831901</v>
      </c>
      <c r="AA274" s="179">
        <f t="shared" si="124"/>
        <v>31735.695447305814</v>
      </c>
      <c r="AB274" s="179"/>
      <c r="AC274" s="179"/>
      <c r="AD274" s="179">
        <f t="shared" si="131"/>
        <v>31735.695447305814</v>
      </c>
      <c r="AE274" s="180">
        <v>545990.45930848713</v>
      </c>
      <c r="AF274" s="180">
        <f t="shared" si="134"/>
        <v>606656.06589831901</v>
      </c>
      <c r="AG274" s="180"/>
      <c r="AH274" s="104">
        <v>-31735.7</v>
      </c>
      <c r="AI274" s="104"/>
      <c r="AJ274" s="104"/>
      <c r="AK274" s="104"/>
      <c r="AL274" s="104"/>
      <c r="AM274" s="104">
        <f t="shared" si="121"/>
        <v>-4.5526941867137793E-3</v>
      </c>
      <c r="AN274" s="104"/>
      <c r="AO274" s="104"/>
      <c r="AP274" s="104"/>
      <c r="AQ274" s="104">
        <f t="shared" si="119"/>
        <v>-4.5526941867137793E-3</v>
      </c>
      <c r="AR274" s="104"/>
      <c r="AS274" s="69">
        <f t="shared" si="127"/>
        <v>-4.5526941867137793E-3</v>
      </c>
      <c r="AT274" s="104">
        <f t="shared" si="128"/>
        <v>0</v>
      </c>
      <c r="AU274" s="181">
        <f t="shared" si="135"/>
        <v>682488.07413560885</v>
      </c>
      <c r="AV274" s="181"/>
      <c r="AW274" s="105">
        <v>-682488.07</v>
      </c>
      <c r="AX274" s="182"/>
      <c r="AY274" s="182"/>
      <c r="AZ274" s="182"/>
      <c r="BA274" s="182"/>
      <c r="BB274" s="108">
        <f t="shared" si="122"/>
        <v>4.1356089059263468E-3</v>
      </c>
      <c r="BC274" s="108">
        <f t="shared" si="136"/>
        <v>-0.11189417355978568</v>
      </c>
      <c r="BD274" s="183"/>
      <c r="BE274" s="183"/>
      <c r="BF274" s="183"/>
      <c r="BG274" s="110">
        <f t="shared" si="137"/>
        <v>-0.13054320248641663</v>
      </c>
      <c r="BH274" s="110"/>
      <c r="BI274" s="110">
        <f t="shared" si="129"/>
        <v>-4.5526941867137793E-3</v>
      </c>
      <c r="BJ274" s="116">
        <f t="shared" si="130"/>
        <v>-0.20234196385394576</v>
      </c>
      <c r="BK274" s="116"/>
      <c r="BL274" s="79"/>
      <c r="BM274" s="184"/>
    </row>
    <row r="275" spans="1:66" s="185" customFormat="1" ht="25.5">
      <c r="A275" s="171">
        <f t="shared" si="120"/>
        <v>203</v>
      </c>
      <c r="B275" s="87" t="s">
        <v>423</v>
      </c>
      <c r="C275" s="172" t="s">
        <v>424</v>
      </c>
      <c r="D275" s="87" t="s">
        <v>64</v>
      </c>
      <c r="E275" s="87" t="s">
        <v>65</v>
      </c>
      <c r="F275" s="87"/>
      <c r="G275" s="87"/>
      <c r="H275" s="174">
        <v>43497</v>
      </c>
      <c r="I275" s="189" t="s">
        <v>128</v>
      </c>
      <c r="J275" s="175">
        <v>1000000</v>
      </c>
      <c r="K275" s="121">
        <v>7.7499999999999999E-2</v>
      </c>
      <c r="L275" s="63">
        <v>7.4999999999999997E-2</v>
      </c>
      <c r="M275" s="176">
        <v>0.9</v>
      </c>
      <c r="N275" s="177">
        <v>10</v>
      </c>
      <c r="O275" s="177"/>
      <c r="P275" s="176">
        <v>12</v>
      </c>
      <c r="Q275" s="177">
        <f t="shared" si="132"/>
        <v>58125</v>
      </c>
      <c r="R275" s="177">
        <f t="shared" si="125"/>
        <v>606656.06589831901</v>
      </c>
      <c r="S275" s="177">
        <f t="shared" si="133"/>
        <v>35261.883830339793</v>
      </c>
      <c r="T275" s="177">
        <f t="shared" si="126"/>
        <v>22863.116169660207</v>
      </c>
      <c r="U275" s="178">
        <v>0.606656065898319</v>
      </c>
      <c r="V275" s="177"/>
      <c r="W275" s="176"/>
      <c r="X275" s="177">
        <f t="shared" si="123"/>
        <v>606656.06589831901</v>
      </c>
      <c r="Y275" s="177">
        <f t="shared" si="123"/>
        <v>35261.883830339793</v>
      </c>
      <c r="Z275" s="179">
        <f t="shared" si="124"/>
        <v>606656.06589831901</v>
      </c>
      <c r="AA275" s="179">
        <f t="shared" si="124"/>
        <v>35261.883830339793</v>
      </c>
      <c r="AB275" s="179"/>
      <c r="AC275" s="179"/>
      <c r="AD275" s="179">
        <f t="shared" si="131"/>
        <v>35261.883830339793</v>
      </c>
      <c r="AE275" s="180">
        <v>606656.06589831901</v>
      </c>
      <c r="AF275" s="180">
        <f t="shared" si="134"/>
        <v>674062.29544257664</v>
      </c>
      <c r="AG275" s="180">
        <v>28179</v>
      </c>
      <c r="AH275" s="104">
        <v>-7082.88</v>
      </c>
      <c r="AI275" s="104"/>
      <c r="AJ275" s="104"/>
      <c r="AK275" s="104"/>
      <c r="AL275" s="104"/>
      <c r="AM275" s="104">
        <f t="shared" si="121"/>
        <v>3.8303397923300508E-3</v>
      </c>
      <c r="AN275" s="104"/>
      <c r="AO275" s="104"/>
      <c r="AP275" s="104"/>
      <c r="AQ275" s="104">
        <f t="shared" si="119"/>
        <v>3.8303397923300508E-3</v>
      </c>
      <c r="AR275" s="104"/>
      <c r="AS275" s="69">
        <f t="shared" si="127"/>
        <v>3.8303397923300508E-3</v>
      </c>
      <c r="AT275" s="104">
        <f t="shared" si="128"/>
        <v>0</v>
      </c>
      <c r="AU275" s="181">
        <f t="shared" si="135"/>
        <v>758320.0823728987</v>
      </c>
      <c r="AV275" s="188">
        <v>606000</v>
      </c>
      <c r="AW275" s="335">
        <f>AV275-AU275</f>
        <v>-152320.0823728987</v>
      </c>
      <c r="AX275" s="182"/>
      <c r="AY275" s="182"/>
      <c r="AZ275" s="182"/>
      <c r="BA275" s="182"/>
      <c r="BB275" s="108">
        <f t="shared" si="122"/>
        <v>0</v>
      </c>
      <c r="BC275" s="108">
        <f t="shared" si="136"/>
        <v>9.4140455725469752E-2</v>
      </c>
      <c r="BD275" s="183"/>
      <c r="BE275" s="183"/>
      <c r="BF275" s="183"/>
      <c r="BG275" s="110">
        <f t="shared" si="137"/>
        <v>0.10983053167971471</v>
      </c>
      <c r="BH275" s="110"/>
      <c r="BI275" s="110">
        <f t="shared" si="129"/>
        <v>3.8303397923300508E-3</v>
      </c>
      <c r="BJ275" s="116">
        <f t="shared" si="130"/>
        <v>0.1702373241035578</v>
      </c>
      <c r="BK275" s="116"/>
      <c r="BL275" s="79"/>
      <c r="BM275" s="184"/>
    </row>
    <row r="276" spans="1:66" s="185" customFormat="1" ht="25.5">
      <c r="A276" s="171">
        <f t="shared" si="120"/>
        <v>204</v>
      </c>
      <c r="B276" s="87" t="s">
        <v>425</v>
      </c>
      <c r="C276" s="172" t="s">
        <v>426</v>
      </c>
      <c r="D276" s="87" t="s">
        <v>64</v>
      </c>
      <c r="E276" s="87" t="s">
        <v>65</v>
      </c>
      <c r="F276" s="87"/>
      <c r="G276" s="87"/>
      <c r="H276" s="174">
        <v>43525</v>
      </c>
      <c r="I276" s="189" t="s">
        <v>128</v>
      </c>
      <c r="J276" s="175">
        <v>700000</v>
      </c>
      <c r="K276" s="121">
        <v>7.7499999999999999E-2</v>
      </c>
      <c r="L276" s="63">
        <v>7.4999999999999997E-2</v>
      </c>
      <c r="M276" s="176">
        <v>0.9</v>
      </c>
      <c r="N276" s="177">
        <v>9</v>
      </c>
      <c r="O276" s="177"/>
      <c r="P276" s="176">
        <v>12</v>
      </c>
      <c r="Q276" s="177">
        <f t="shared" si="132"/>
        <v>36618.75</v>
      </c>
      <c r="R276" s="177">
        <f t="shared" si="125"/>
        <v>424659.24612882332</v>
      </c>
      <c r="S276" s="177">
        <f t="shared" si="133"/>
        <v>22214.986813114072</v>
      </c>
      <c r="T276" s="177">
        <f t="shared" si="126"/>
        <v>14403.763186885928</v>
      </c>
      <c r="U276" s="178">
        <v>0.606656065898319</v>
      </c>
      <c r="V276" s="177"/>
      <c r="W276" s="176"/>
      <c r="X276" s="177">
        <f t="shared" si="123"/>
        <v>424659.24612882332</v>
      </c>
      <c r="Y276" s="177">
        <f t="shared" si="123"/>
        <v>22214.986813114072</v>
      </c>
      <c r="Z276" s="179">
        <f t="shared" si="124"/>
        <v>424659.24612882332</v>
      </c>
      <c r="AA276" s="179">
        <f t="shared" si="124"/>
        <v>22214.986813114072</v>
      </c>
      <c r="AB276" s="179"/>
      <c r="AC276" s="179"/>
      <c r="AD276" s="179">
        <f t="shared" si="131"/>
        <v>22214.986813114072</v>
      </c>
      <c r="AE276" s="180">
        <v>382193.32151594106</v>
      </c>
      <c r="AF276" s="180">
        <f t="shared" si="134"/>
        <v>424659.24612882338</v>
      </c>
      <c r="AG276" s="180"/>
      <c r="AH276" s="104">
        <v>-22214.99</v>
      </c>
      <c r="AI276" s="104"/>
      <c r="AJ276" s="104"/>
      <c r="AK276" s="104"/>
      <c r="AL276" s="104"/>
      <c r="AM276" s="104">
        <f t="shared" si="121"/>
        <v>-3.1868859296082519E-3</v>
      </c>
      <c r="AN276" s="104"/>
      <c r="AO276" s="104"/>
      <c r="AP276" s="104"/>
      <c r="AQ276" s="104">
        <f t="shared" si="119"/>
        <v>-3.1868859296082519E-3</v>
      </c>
      <c r="AR276" s="104"/>
      <c r="AS276" s="69">
        <f t="shared" si="127"/>
        <v>-3.1868859296082519E-3</v>
      </c>
      <c r="AT276" s="104">
        <f t="shared" si="128"/>
        <v>0</v>
      </c>
      <c r="AU276" s="181">
        <f t="shared" si="135"/>
        <v>477741.65189492633</v>
      </c>
      <c r="AV276" s="181"/>
      <c r="AW276" s="105">
        <v>-477741.65</v>
      </c>
      <c r="AX276" s="182"/>
      <c r="AY276" s="182"/>
      <c r="AZ276" s="182"/>
      <c r="BA276" s="182"/>
      <c r="BB276" s="108">
        <f t="shared" si="122"/>
        <v>1.8949263030663133E-3</v>
      </c>
      <c r="BC276" s="108">
        <f t="shared" si="136"/>
        <v>-7.8325921465026163E-2</v>
      </c>
      <c r="BD276" s="183"/>
      <c r="BE276" s="183"/>
      <c r="BF276" s="183"/>
      <c r="BG276" s="110">
        <f t="shared" si="137"/>
        <v>-9.1380241709197188E-2</v>
      </c>
      <c r="BH276" s="110"/>
      <c r="BI276" s="110">
        <f t="shared" si="129"/>
        <v>-3.1868859296082519E-3</v>
      </c>
      <c r="BJ276" s="116">
        <f t="shared" si="130"/>
        <v>-0.14163937464925563</v>
      </c>
      <c r="BK276" s="116"/>
      <c r="BL276" s="79"/>
      <c r="BM276" s="184"/>
    </row>
    <row r="277" spans="1:66" s="185" customFormat="1" ht="25.5">
      <c r="A277" s="171">
        <f t="shared" si="120"/>
        <v>205</v>
      </c>
      <c r="B277" s="87" t="s">
        <v>427</v>
      </c>
      <c r="C277" s="172" t="s">
        <v>428</v>
      </c>
      <c r="D277" s="87" t="s">
        <v>64</v>
      </c>
      <c r="E277" s="87" t="s">
        <v>65</v>
      </c>
      <c r="F277" s="87"/>
      <c r="G277" s="87"/>
      <c r="H277" s="174">
        <v>43525</v>
      </c>
      <c r="I277" s="189" t="s">
        <v>128</v>
      </c>
      <c r="J277" s="175">
        <v>4000000</v>
      </c>
      <c r="K277" s="121">
        <v>7.7499999999999999E-2</v>
      </c>
      <c r="L277" s="63">
        <v>7.4999999999999997E-2</v>
      </c>
      <c r="M277" s="176">
        <v>0.9</v>
      </c>
      <c r="N277" s="177">
        <v>9</v>
      </c>
      <c r="O277" s="177"/>
      <c r="P277" s="176">
        <v>12</v>
      </c>
      <c r="Q277" s="177">
        <f t="shared" si="132"/>
        <v>209250</v>
      </c>
      <c r="R277" s="177">
        <f t="shared" si="125"/>
        <v>2426624.263593276</v>
      </c>
      <c r="S277" s="177">
        <f t="shared" si="133"/>
        <v>126942.78178922326</v>
      </c>
      <c r="T277" s="177">
        <f t="shared" si="126"/>
        <v>82307.218210776744</v>
      </c>
      <c r="U277" s="178">
        <v>0.606656065898319</v>
      </c>
      <c r="V277" s="177"/>
      <c r="W277" s="176"/>
      <c r="X277" s="177">
        <f t="shared" si="123"/>
        <v>2426624.263593276</v>
      </c>
      <c r="Y277" s="177">
        <f t="shared" si="123"/>
        <v>126942.78178922326</v>
      </c>
      <c r="Z277" s="179">
        <f t="shared" si="124"/>
        <v>2426624.263593276</v>
      </c>
      <c r="AA277" s="179">
        <f t="shared" si="124"/>
        <v>126942.78178922326</v>
      </c>
      <c r="AB277" s="179"/>
      <c r="AC277" s="179"/>
      <c r="AD277" s="179">
        <f t="shared" si="131"/>
        <v>126942.78178922326</v>
      </c>
      <c r="AE277" s="180">
        <v>2183961.8372339485</v>
      </c>
      <c r="AF277" s="180">
        <f t="shared" si="134"/>
        <v>2426624.263593276</v>
      </c>
      <c r="AG277" s="180"/>
      <c r="AH277" s="104">
        <v>-126942.78</v>
      </c>
      <c r="AI277" s="104"/>
      <c r="AJ277" s="104"/>
      <c r="AK277" s="104"/>
      <c r="AL277" s="104"/>
      <c r="AM277" s="104">
        <f t="shared" si="121"/>
        <v>1.7892232572194189E-3</v>
      </c>
      <c r="AN277" s="104"/>
      <c r="AO277" s="104"/>
      <c r="AP277" s="104"/>
      <c r="AQ277" s="104">
        <f t="shared" si="119"/>
        <v>1.7892232572194189E-3</v>
      </c>
      <c r="AR277" s="104"/>
      <c r="AS277" s="69">
        <f t="shared" si="127"/>
        <v>1.7892232572194189E-3</v>
      </c>
      <c r="AT277" s="104">
        <f t="shared" si="128"/>
        <v>0</v>
      </c>
      <c r="AU277" s="181">
        <f t="shared" si="135"/>
        <v>2729952.2965424354</v>
      </c>
      <c r="AV277" s="181"/>
      <c r="AW277" s="105">
        <v>-2729952.3</v>
      </c>
      <c r="AX277" s="182"/>
      <c r="AY277" s="182"/>
      <c r="AZ277" s="182"/>
      <c r="BA277" s="182"/>
      <c r="BB277" s="108">
        <f t="shared" si="122"/>
        <v>-3.4575643949210644E-3</v>
      </c>
      <c r="BC277" s="108">
        <f t="shared" si="136"/>
        <v>4.3974765154394316E-2</v>
      </c>
      <c r="BD277" s="183"/>
      <c r="BE277" s="183"/>
      <c r="BF277" s="183"/>
      <c r="BG277" s="110">
        <f t="shared" si="137"/>
        <v>5.1303892680126695E-2</v>
      </c>
      <c r="BH277" s="110"/>
      <c r="BI277" s="110">
        <f t="shared" si="129"/>
        <v>1.7892232572194189E-3</v>
      </c>
      <c r="BJ277" s="116">
        <f t="shared" si="130"/>
        <v>7.9521033654196396E-2</v>
      </c>
      <c r="BK277" s="116"/>
      <c r="BL277" s="79"/>
      <c r="BM277" s="184"/>
    </row>
    <row r="278" spans="1:66" s="112" customFormat="1" ht="25.5">
      <c r="A278" s="84">
        <f t="shared" si="120"/>
        <v>206</v>
      </c>
      <c r="B278" s="85" t="s">
        <v>429</v>
      </c>
      <c r="C278" s="86" t="s">
        <v>430</v>
      </c>
      <c r="D278" s="85" t="s">
        <v>64</v>
      </c>
      <c r="E278" s="87"/>
      <c r="F278" s="89"/>
      <c r="G278" s="89"/>
      <c r="H278" s="90">
        <v>43497</v>
      </c>
      <c r="I278" s="90">
        <v>43497</v>
      </c>
      <c r="J278" s="91">
        <v>4000000</v>
      </c>
      <c r="K278" s="92">
        <v>7.7499999999999999E-2</v>
      </c>
      <c r="L278" s="63">
        <v>7.4999999999999997E-2</v>
      </c>
      <c r="M278" s="93">
        <v>0.9</v>
      </c>
      <c r="N278" s="94">
        <v>10</v>
      </c>
      <c r="O278" s="94"/>
      <c r="P278" s="93">
        <v>12</v>
      </c>
      <c r="Q278" s="95">
        <f t="shared" si="132"/>
        <v>232500</v>
      </c>
      <c r="R278" s="94">
        <f t="shared" si="125"/>
        <v>2426624.263593276</v>
      </c>
      <c r="S278" s="95">
        <f t="shared" si="133"/>
        <v>141047.53532135917</v>
      </c>
      <c r="T278" s="95">
        <f t="shared" si="126"/>
        <v>91452.464678640827</v>
      </c>
      <c r="U278" s="96">
        <v>0.606656065898319</v>
      </c>
      <c r="V278" s="254">
        <v>4000000</v>
      </c>
      <c r="W278" s="122">
        <v>232500</v>
      </c>
      <c r="X278" s="95">
        <f t="shared" si="123"/>
        <v>-1573375.736406724</v>
      </c>
      <c r="Y278" s="95">
        <f t="shared" si="123"/>
        <v>-91452.464678640827</v>
      </c>
      <c r="Z278" s="98">
        <f t="shared" si="124"/>
        <v>-1573375.736406724</v>
      </c>
      <c r="AA278" s="98">
        <f t="shared" si="124"/>
        <v>-91452.464678640827</v>
      </c>
      <c r="AB278" s="98"/>
      <c r="AC278" s="98"/>
      <c r="AD278" s="98">
        <f t="shared" si="131"/>
        <v>-91452.464678640827</v>
      </c>
      <c r="AE278" s="100">
        <v>-1573375.7364067237</v>
      </c>
      <c r="AF278" s="100">
        <f t="shared" si="134"/>
        <v>-1748195.2626741375</v>
      </c>
      <c r="AG278" s="100"/>
      <c r="AH278" s="101"/>
      <c r="AI278" s="101"/>
      <c r="AJ278" s="101"/>
      <c r="AK278" s="101"/>
      <c r="AL278" s="101"/>
      <c r="AM278" s="104">
        <f t="shared" si="121"/>
        <v>-91452.464678640827</v>
      </c>
      <c r="AN278" s="104"/>
      <c r="AO278" s="104"/>
      <c r="AP278" s="104"/>
      <c r="AQ278" s="104">
        <f t="shared" si="119"/>
        <v>-91452.464678640827</v>
      </c>
      <c r="AR278" s="104"/>
      <c r="AS278" s="104">
        <f t="shared" si="127"/>
        <v>-91452.464678640827</v>
      </c>
      <c r="AT278" s="104">
        <f>BK278*L278*M278*4/P278</f>
        <v>0</v>
      </c>
      <c r="AU278" s="105">
        <f t="shared" si="135"/>
        <v>-1966719.6705084047</v>
      </c>
      <c r="AV278" s="106"/>
      <c r="AW278" s="106"/>
      <c r="AX278" s="107"/>
      <c r="AY278" s="107"/>
      <c r="AZ278" s="107"/>
      <c r="BA278" s="107"/>
      <c r="BB278" s="108">
        <f t="shared" si="122"/>
        <v>-1966719.6705084047</v>
      </c>
      <c r="BC278" s="108">
        <f t="shared" si="136"/>
        <v>-2247679.6234381767</v>
      </c>
      <c r="BD278" s="109"/>
      <c r="BE278" s="109"/>
      <c r="BF278" s="109"/>
      <c r="BG278" s="110">
        <f t="shared" si="137"/>
        <v>-2622292.8940112065</v>
      </c>
      <c r="BH278" s="110"/>
      <c r="BI278" s="110"/>
      <c r="BJ278" s="123">
        <f t="shared" si="130"/>
        <v>-4064553.9857173702</v>
      </c>
      <c r="BK278" s="116"/>
      <c r="BL278" s="79"/>
      <c r="BM278" s="111"/>
    </row>
    <row r="279" spans="1:66" s="170" customFormat="1" ht="25.5" hidden="1">
      <c r="A279" s="150"/>
      <c r="B279" s="151" t="s">
        <v>429</v>
      </c>
      <c r="C279" s="291" t="s">
        <v>430</v>
      </c>
      <c r="D279" s="153" t="s">
        <v>64</v>
      </c>
      <c r="E279" s="127" t="s">
        <v>65</v>
      </c>
      <c r="F279" s="153"/>
      <c r="G279" s="153"/>
      <c r="H279" s="155"/>
      <c r="I279" s="155"/>
      <c r="J279" s="156"/>
      <c r="K279" s="157"/>
      <c r="L279" s="63">
        <v>7.4999999999999997E-2</v>
      </c>
      <c r="M279" s="64">
        <v>0.9</v>
      </c>
      <c r="N279" s="65">
        <v>9</v>
      </c>
      <c r="O279" s="65">
        <v>4</v>
      </c>
      <c r="P279" s="64">
        <v>12</v>
      </c>
      <c r="Q279" s="158"/>
      <c r="R279" s="158">
        <f t="shared" si="125"/>
        <v>0</v>
      </c>
      <c r="S279" s="158"/>
      <c r="T279" s="158"/>
      <c r="U279" s="159"/>
      <c r="V279" s="192"/>
      <c r="W279" s="193"/>
      <c r="X279" s="158"/>
      <c r="Y279" s="158"/>
      <c r="Z279" s="161"/>
      <c r="AA279" s="161"/>
      <c r="AB279" s="161"/>
      <c r="AC279" s="161"/>
      <c r="AD279" s="161"/>
      <c r="AE279" s="163"/>
      <c r="AF279" s="163"/>
      <c r="AG279" s="163"/>
      <c r="AH279" s="102"/>
      <c r="AI279" s="102"/>
      <c r="AJ279" s="102"/>
      <c r="AK279" s="102"/>
      <c r="AL279" s="102"/>
      <c r="AM279" s="70"/>
      <c r="AN279" s="70"/>
      <c r="AO279" s="70"/>
      <c r="AP279" s="70"/>
      <c r="AQ279" s="70"/>
      <c r="AR279" s="70"/>
      <c r="AS279" s="69">
        <f t="shared" si="127"/>
        <v>0</v>
      </c>
      <c r="AT279" s="69">
        <f t="shared" si="128"/>
        <v>0</v>
      </c>
      <c r="AU279" s="164"/>
      <c r="AV279" s="165"/>
      <c r="AW279" s="165"/>
      <c r="AX279" s="166"/>
      <c r="AY279" s="166"/>
      <c r="AZ279" s="166"/>
      <c r="BA279" s="166"/>
      <c r="BB279" s="137"/>
      <c r="BC279" s="137"/>
      <c r="BD279" s="167"/>
      <c r="BE279" s="167"/>
      <c r="BF279" s="167"/>
      <c r="BG279" s="168"/>
      <c r="BH279" s="168"/>
      <c r="BI279" s="78">
        <f t="shared" si="129"/>
        <v>0</v>
      </c>
      <c r="BJ279" s="79">
        <f t="shared" si="130"/>
        <v>0</v>
      </c>
      <c r="BK279" s="79"/>
      <c r="BL279" s="169">
        <v>5000000</v>
      </c>
      <c r="BM279" s="186" t="s">
        <v>72</v>
      </c>
      <c r="BN279" s="170" t="s">
        <v>73</v>
      </c>
    </row>
    <row r="280" spans="1:66" s="404" customFormat="1" ht="38.25">
      <c r="A280" s="380">
        <f>A278+1</f>
        <v>207</v>
      </c>
      <c r="B280" s="381" t="s">
        <v>431</v>
      </c>
      <c r="C280" s="382" t="s">
        <v>432</v>
      </c>
      <c r="D280" s="381" t="s">
        <v>64</v>
      </c>
      <c r="E280" s="383" t="s">
        <v>65</v>
      </c>
      <c r="F280" s="381"/>
      <c r="G280" s="381"/>
      <c r="H280" s="384">
        <v>43525</v>
      </c>
      <c r="I280" s="384">
        <v>43525</v>
      </c>
      <c r="J280" s="385">
        <v>3000000</v>
      </c>
      <c r="K280" s="386">
        <v>7.7499999999999999E-2</v>
      </c>
      <c r="L280" s="387">
        <v>7.4999999999999997E-2</v>
      </c>
      <c r="M280" s="388">
        <v>0.9</v>
      </c>
      <c r="N280" s="389">
        <v>9</v>
      </c>
      <c r="O280" s="389"/>
      <c r="P280" s="388">
        <v>12</v>
      </c>
      <c r="Q280" s="389">
        <f t="shared" ref="Q280:Q295" si="138">J280*K280*M280*N280/P280</f>
        <v>156937.5</v>
      </c>
      <c r="R280" s="389">
        <f t="shared" si="125"/>
        <v>1819968.197694957</v>
      </c>
      <c r="S280" s="389">
        <f t="shared" ref="S280:S295" si="139">R280*K280*M280*N280/P280</f>
        <v>95207.086341917442</v>
      </c>
      <c r="T280" s="389">
        <f t="shared" si="126"/>
        <v>61730.413658082558</v>
      </c>
      <c r="U280" s="390">
        <v>0.606656065898319</v>
      </c>
      <c r="V280" s="389"/>
      <c r="W280" s="388"/>
      <c r="X280" s="389">
        <f t="shared" si="123"/>
        <v>1819968.197694957</v>
      </c>
      <c r="Y280" s="389">
        <f t="shared" si="123"/>
        <v>95207.086341917442</v>
      </c>
      <c r="Z280" s="391">
        <f t="shared" si="124"/>
        <v>1819968.197694957</v>
      </c>
      <c r="AA280" s="391">
        <f t="shared" si="124"/>
        <v>95207.086341917442</v>
      </c>
      <c r="AB280" s="391">
        <v>94936.44</v>
      </c>
      <c r="AC280" s="391"/>
      <c r="AD280" s="391">
        <f t="shared" si="131"/>
        <v>270.64634191743971</v>
      </c>
      <c r="AE280" s="393">
        <v>-1162028.6220745386</v>
      </c>
      <c r="AF280" s="393">
        <f t="shared" ref="AF280:AF295" si="140">AD280/K280/M280/9*P280</f>
        <v>5173.645723630867</v>
      </c>
      <c r="AG280" s="393"/>
      <c r="AH280" s="394"/>
      <c r="AI280" s="394"/>
      <c r="AJ280" s="394"/>
      <c r="AK280" s="394"/>
      <c r="AL280" s="394"/>
      <c r="AM280" s="395">
        <f t="shared" si="121"/>
        <v>270.64634191743971</v>
      </c>
      <c r="AN280" s="395"/>
      <c r="AO280" s="395"/>
      <c r="AP280" s="395"/>
      <c r="AQ280" s="395">
        <f t="shared" si="119"/>
        <v>270.64634191743971</v>
      </c>
      <c r="AR280" s="395"/>
      <c r="AS280" s="395">
        <v>95207.09</v>
      </c>
      <c r="AT280" s="395">
        <f t="shared" si="128"/>
        <v>67500</v>
      </c>
      <c r="AU280" s="396">
        <f t="shared" ref="AU280:AU295" si="141">AD280/K280/M280/8*P280</f>
        <v>5820.3514390847249</v>
      </c>
      <c r="AV280" s="397"/>
      <c r="AW280" s="397"/>
      <c r="AX280" s="398"/>
      <c r="AY280" s="398"/>
      <c r="AZ280" s="398"/>
      <c r="BA280" s="398"/>
      <c r="BB280" s="399">
        <f t="shared" si="122"/>
        <v>5820.3514390847249</v>
      </c>
      <c r="BC280" s="399">
        <f t="shared" ref="BC280:BC295" si="142">AM280/K280/M280/7*P280</f>
        <v>6651.8302160968278</v>
      </c>
      <c r="BD280" s="400"/>
      <c r="BE280" s="400"/>
      <c r="BF280" s="400"/>
      <c r="BG280" s="401">
        <f t="shared" ref="BG280:BG295" si="143">AQ280/K280/M280/6*P280</f>
        <v>7760.4685854462987</v>
      </c>
      <c r="BH280" s="401"/>
      <c r="BI280" s="401">
        <f t="shared" si="129"/>
        <v>27707.089999999997</v>
      </c>
      <c r="BJ280" s="402">
        <f t="shared" si="130"/>
        <v>4231426.222222222</v>
      </c>
      <c r="BK280" s="402">
        <v>3000000</v>
      </c>
      <c r="BL280" s="402"/>
      <c r="BM280" s="403"/>
    </row>
    <row r="281" spans="1:66" s="112" customFormat="1" ht="25.5">
      <c r="A281" s="84">
        <f t="shared" si="120"/>
        <v>208</v>
      </c>
      <c r="B281" s="85" t="s">
        <v>433</v>
      </c>
      <c r="C281" s="86" t="s">
        <v>434</v>
      </c>
      <c r="D281" s="85" t="s">
        <v>64</v>
      </c>
      <c r="E281" s="87" t="s">
        <v>65</v>
      </c>
      <c r="F281" s="89"/>
      <c r="G281" s="89"/>
      <c r="H281" s="90">
        <v>43497</v>
      </c>
      <c r="I281" s="90">
        <v>43497</v>
      </c>
      <c r="J281" s="91">
        <v>1000000</v>
      </c>
      <c r="K281" s="92">
        <v>7.7499999999999999E-2</v>
      </c>
      <c r="L281" s="63">
        <v>7.4999999999999997E-2</v>
      </c>
      <c r="M281" s="93">
        <v>0.9</v>
      </c>
      <c r="N281" s="94">
        <v>10</v>
      </c>
      <c r="O281" s="94"/>
      <c r="P281" s="93">
        <v>12</v>
      </c>
      <c r="Q281" s="95">
        <f t="shared" si="138"/>
        <v>58125</v>
      </c>
      <c r="R281" s="94">
        <f t="shared" si="125"/>
        <v>606656.06589831901</v>
      </c>
      <c r="S281" s="95">
        <f t="shared" si="139"/>
        <v>35261.883830339793</v>
      </c>
      <c r="T281" s="95">
        <f t="shared" si="126"/>
        <v>22863.116169660207</v>
      </c>
      <c r="U281" s="96">
        <v>0.606656065898319</v>
      </c>
      <c r="V281" s="94"/>
      <c r="W281" s="97"/>
      <c r="X281" s="95">
        <f t="shared" si="123"/>
        <v>606656.06589831901</v>
      </c>
      <c r="Y281" s="95">
        <f t="shared" si="123"/>
        <v>35261.883830339793</v>
      </c>
      <c r="Z281" s="98">
        <f t="shared" si="124"/>
        <v>606656.06589831901</v>
      </c>
      <c r="AA281" s="98">
        <f t="shared" si="124"/>
        <v>35261.883830339793</v>
      </c>
      <c r="AB281" s="98">
        <v>34259.67</v>
      </c>
      <c r="AC281" s="98"/>
      <c r="AD281" s="98">
        <f t="shared" si="131"/>
        <v>1002.2138303397951</v>
      </c>
      <c r="AE281" s="100">
        <v>-393343.93410168099</v>
      </c>
      <c r="AF281" s="100">
        <f t="shared" si="140"/>
        <v>19158.209421071351</v>
      </c>
      <c r="AG281" s="100"/>
      <c r="AH281" s="101"/>
      <c r="AI281" s="101"/>
      <c r="AJ281" s="101"/>
      <c r="AK281" s="101"/>
      <c r="AL281" s="101"/>
      <c r="AM281" s="104">
        <f t="shared" si="121"/>
        <v>1002.2138303397951</v>
      </c>
      <c r="AN281" s="104"/>
      <c r="AO281" s="104"/>
      <c r="AP281" s="104"/>
      <c r="AQ281" s="104">
        <f t="shared" si="119"/>
        <v>1002.2138303397951</v>
      </c>
      <c r="AR281" s="104"/>
      <c r="AS281" s="104">
        <f t="shared" si="127"/>
        <v>1002.2138303397951</v>
      </c>
      <c r="AT281" s="104">
        <f t="shared" si="128"/>
        <v>0</v>
      </c>
      <c r="AU281" s="181">
        <f t="shared" si="141"/>
        <v>21552.985598705272</v>
      </c>
      <c r="AV281" s="106"/>
      <c r="AW281" s="106"/>
      <c r="AX281" s="107"/>
      <c r="AY281" s="107"/>
      <c r="AZ281" s="107"/>
      <c r="BA281" s="107"/>
      <c r="BB281" s="108">
        <f t="shared" si="122"/>
        <v>21552.985598705272</v>
      </c>
      <c r="BC281" s="108">
        <f t="shared" si="142"/>
        <v>24631.983541377449</v>
      </c>
      <c r="BD281" s="109"/>
      <c r="BE281" s="109"/>
      <c r="BF281" s="109"/>
      <c r="BG281" s="110">
        <f t="shared" si="143"/>
        <v>28737.314131607025</v>
      </c>
      <c r="BH281" s="110"/>
      <c r="BI281" s="110">
        <f t="shared" si="129"/>
        <v>1002.2138303397951</v>
      </c>
      <c r="BJ281" s="116">
        <f t="shared" si="130"/>
        <v>44542.836903990894</v>
      </c>
      <c r="BK281" s="116"/>
      <c r="BL281" s="79"/>
      <c r="BM281" s="111"/>
    </row>
    <row r="282" spans="1:66" ht="25.5" hidden="1">
      <c r="A282" s="236">
        <f t="shared" si="120"/>
        <v>209</v>
      </c>
      <c r="B282" s="237" t="s">
        <v>435</v>
      </c>
      <c r="C282" s="253" t="s">
        <v>436</v>
      </c>
      <c r="D282" s="237" t="s">
        <v>111</v>
      </c>
      <c r="E282" s="237"/>
      <c r="F282" s="237"/>
      <c r="G282" s="237"/>
      <c r="H282" s="238">
        <v>43497</v>
      </c>
      <c r="I282" s="238"/>
      <c r="J282" s="239"/>
      <c r="K282" s="240">
        <v>7.7499999999999999E-2</v>
      </c>
      <c r="L282" s="63">
        <v>7.4999999999999997E-2</v>
      </c>
      <c r="M282" s="241">
        <v>0.9</v>
      </c>
      <c r="N282" s="242">
        <v>10</v>
      </c>
      <c r="O282" s="242"/>
      <c r="P282" s="241">
        <v>12</v>
      </c>
      <c r="Q282" s="242">
        <f t="shared" si="138"/>
        <v>0</v>
      </c>
      <c r="R282" s="242">
        <f t="shared" si="125"/>
        <v>0</v>
      </c>
      <c r="S282" s="242">
        <f t="shared" si="139"/>
        <v>0</v>
      </c>
      <c r="T282" s="242">
        <f t="shared" si="126"/>
        <v>0</v>
      </c>
      <c r="U282" s="243">
        <v>0.606656065898319</v>
      </c>
      <c r="V282" s="242"/>
      <c r="W282" s="241"/>
      <c r="X282" s="242">
        <f t="shared" si="123"/>
        <v>0</v>
      </c>
      <c r="Y282" s="242">
        <f t="shared" si="123"/>
        <v>0</v>
      </c>
      <c r="Z282" s="244">
        <f t="shared" si="124"/>
        <v>0</v>
      </c>
      <c r="AA282" s="244">
        <f t="shared" si="124"/>
        <v>0</v>
      </c>
      <c r="AB282" s="244"/>
      <c r="AC282" s="244"/>
      <c r="AD282" s="244">
        <f t="shared" si="131"/>
        <v>0</v>
      </c>
      <c r="AE282" s="246">
        <v>0</v>
      </c>
      <c r="AF282" s="246">
        <f t="shared" si="140"/>
        <v>0</v>
      </c>
      <c r="AG282" s="246"/>
      <c r="AH282" s="247"/>
      <c r="AI282" s="247"/>
      <c r="AJ282" s="70"/>
      <c r="AK282" s="70"/>
      <c r="AL282" s="71"/>
      <c r="AM282" s="69">
        <f t="shared" si="121"/>
        <v>0</v>
      </c>
      <c r="AN282" s="69"/>
      <c r="AO282" s="69"/>
      <c r="AP282" s="69"/>
      <c r="AQ282" s="69">
        <f t="shared" si="119"/>
        <v>0</v>
      </c>
      <c r="AR282" s="69"/>
      <c r="AS282" s="69">
        <f t="shared" si="127"/>
        <v>0</v>
      </c>
      <c r="AT282" s="69">
        <f t="shared" si="128"/>
        <v>0</v>
      </c>
      <c r="AU282" s="248">
        <f t="shared" si="141"/>
        <v>0</v>
      </c>
      <c r="AV282" s="248"/>
      <c r="AW282" s="248"/>
      <c r="AX282" s="249"/>
      <c r="AY282" s="74"/>
      <c r="AZ282" s="74"/>
      <c r="BA282" s="75"/>
      <c r="BB282" s="76">
        <f t="shared" si="122"/>
        <v>0</v>
      </c>
      <c r="BC282" s="76">
        <f t="shared" si="142"/>
        <v>0</v>
      </c>
      <c r="BD282" s="251"/>
      <c r="BE282" s="251"/>
      <c r="BF282" s="251"/>
      <c r="BG282" s="78">
        <f t="shared" si="143"/>
        <v>0</v>
      </c>
      <c r="BH282" s="78"/>
      <c r="BI282" s="78">
        <f t="shared" si="129"/>
        <v>0</v>
      </c>
      <c r="BJ282" s="79">
        <f t="shared" si="130"/>
        <v>0</v>
      </c>
      <c r="BK282" s="79"/>
      <c r="BL282" s="79"/>
      <c r="BM282" s="235"/>
      <c r="BN282" s="127" t="s">
        <v>111</v>
      </c>
    </row>
    <row r="283" spans="1:66" ht="25.5" hidden="1">
      <c r="A283" s="236">
        <f t="shared" si="120"/>
        <v>210</v>
      </c>
      <c r="B283" s="237" t="s">
        <v>435</v>
      </c>
      <c r="C283" s="253" t="s">
        <v>436</v>
      </c>
      <c r="D283" s="237" t="s">
        <v>111</v>
      </c>
      <c r="E283" s="237"/>
      <c r="F283" s="237"/>
      <c r="G283" s="237"/>
      <c r="H283" s="238">
        <v>43525</v>
      </c>
      <c r="I283" s="238"/>
      <c r="J283" s="239"/>
      <c r="K283" s="240">
        <v>7.7499999999999999E-2</v>
      </c>
      <c r="L283" s="63">
        <v>7.4999999999999997E-2</v>
      </c>
      <c r="M283" s="241">
        <v>0.9</v>
      </c>
      <c r="N283" s="242">
        <v>9</v>
      </c>
      <c r="O283" s="242"/>
      <c r="P283" s="241">
        <v>12</v>
      </c>
      <c r="Q283" s="242">
        <f t="shared" si="138"/>
        <v>0</v>
      </c>
      <c r="R283" s="242">
        <f t="shared" si="125"/>
        <v>0</v>
      </c>
      <c r="S283" s="242">
        <f t="shared" si="139"/>
        <v>0</v>
      </c>
      <c r="T283" s="242">
        <f t="shared" si="126"/>
        <v>0</v>
      </c>
      <c r="U283" s="243">
        <v>0.606656065898319</v>
      </c>
      <c r="V283" s="242"/>
      <c r="W283" s="241"/>
      <c r="X283" s="242">
        <f t="shared" si="123"/>
        <v>0</v>
      </c>
      <c r="Y283" s="242">
        <f t="shared" si="123"/>
        <v>0</v>
      </c>
      <c r="Z283" s="244">
        <f t="shared" si="124"/>
        <v>0</v>
      </c>
      <c r="AA283" s="244">
        <f t="shared" si="124"/>
        <v>0</v>
      </c>
      <c r="AB283" s="244"/>
      <c r="AC283" s="244"/>
      <c r="AD283" s="244">
        <f t="shared" si="131"/>
        <v>0</v>
      </c>
      <c r="AE283" s="246">
        <v>0</v>
      </c>
      <c r="AF283" s="246">
        <f t="shared" si="140"/>
        <v>0</v>
      </c>
      <c r="AG283" s="246"/>
      <c r="AH283" s="247"/>
      <c r="AI283" s="247"/>
      <c r="AJ283" s="70"/>
      <c r="AK283" s="70"/>
      <c r="AL283" s="71"/>
      <c r="AM283" s="69">
        <f t="shared" si="121"/>
        <v>0</v>
      </c>
      <c r="AN283" s="69"/>
      <c r="AO283" s="69"/>
      <c r="AP283" s="69"/>
      <c r="AQ283" s="69">
        <f t="shared" si="119"/>
        <v>0</v>
      </c>
      <c r="AR283" s="69"/>
      <c r="AS283" s="69">
        <f t="shared" si="127"/>
        <v>0</v>
      </c>
      <c r="AT283" s="69">
        <f t="shared" si="128"/>
        <v>0</v>
      </c>
      <c r="AU283" s="248">
        <f t="shared" si="141"/>
        <v>0</v>
      </c>
      <c r="AV283" s="248"/>
      <c r="AW283" s="248"/>
      <c r="AX283" s="249"/>
      <c r="AY283" s="74"/>
      <c r="AZ283" s="74"/>
      <c r="BA283" s="75"/>
      <c r="BB283" s="76">
        <f t="shared" si="122"/>
        <v>0</v>
      </c>
      <c r="BC283" s="76">
        <f t="shared" si="142"/>
        <v>0</v>
      </c>
      <c r="BD283" s="251"/>
      <c r="BE283" s="251"/>
      <c r="BF283" s="251"/>
      <c r="BG283" s="78">
        <f t="shared" si="143"/>
        <v>0</v>
      </c>
      <c r="BH283" s="78"/>
      <c r="BI283" s="78">
        <f t="shared" si="129"/>
        <v>0</v>
      </c>
      <c r="BJ283" s="79">
        <f t="shared" si="130"/>
        <v>0</v>
      </c>
      <c r="BK283" s="79"/>
      <c r="BL283" s="79"/>
      <c r="BM283" s="235"/>
      <c r="BN283" s="127" t="s">
        <v>111</v>
      </c>
    </row>
    <row r="284" spans="1:66" ht="25.5" hidden="1">
      <c r="A284" s="236">
        <f t="shared" si="120"/>
        <v>211</v>
      </c>
      <c r="B284" s="237" t="s">
        <v>435</v>
      </c>
      <c r="C284" s="253" t="s">
        <v>436</v>
      </c>
      <c r="D284" s="237" t="s">
        <v>111</v>
      </c>
      <c r="E284" s="237"/>
      <c r="F284" s="237"/>
      <c r="G284" s="237"/>
      <c r="H284" s="238">
        <v>43556</v>
      </c>
      <c r="I284" s="238"/>
      <c r="J284" s="239"/>
      <c r="K284" s="240">
        <v>7.7499999999999999E-2</v>
      </c>
      <c r="L284" s="63">
        <v>7.4999999999999997E-2</v>
      </c>
      <c r="M284" s="241">
        <v>0.9</v>
      </c>
      <c r="N284" s="242">
        <v>8</v>
      </c>
      <c r="O284" s="242"/>
      <c r="P284" s="241">
        <v>12</v>
      </c>
      <c r="Q284" s="242">
        <f t="shared" si="138"/>
        <v>0</v>
      </c>
      <c r="R284" s="242">
        <f t="shared" si="125"/>
        <v>0</v>
      </c>
      <c r="S284" s="242">
        <f t="shared" si="139"/>
        <v>0</v>
      </c>
      <c r="T284" s="242">
        <f t="shared" si="126"/>
        <v>0</v>
      </c>
      <c r="U284" s="243">
        <v>0.606656065898319</v>
      </c>
      <c r="V284" s="242"/>
      <c r="W284" s="241"/>
      <c r="X284" s="242">
        <f t="shared" si="123"/>
        <v>0</v>
      </c>
      <c r="Y284" s="242">
        <f t="shared" si="123"/>
        <v>0</v>
      </c>
      <c r="Z284" s="244">
        <f t="shared" si="124"/>
        <v>0</v>
      </c>
      <c r="AA284" s="244">
        <f t="shared" si="124"/>
        <v>0</v>
      </c>
      <c r="AB284" s="244"/>
      <c r="AC284" s="244"/>
      <c r="AD284" s="244">
        <f t="shared" si="131"/>
        <v>0</v>
      </c>
      <c r="AE284" s="246">
        <v>0</v>
      </c>
      <c r="AF284" s="246">
        <f t="shared" si="140"/>
        <v>0</v>
      </c>
      <c r="AG284" s="246"/>
      <c r="AH284" s="247"/>
      <c r="AI284" s="247"/>
      <c r="AJ284" s="70"/>
      <c r="AK284" s="70"/>
      <c r="AL284" s="71"/>
      <c r="AM284" s="69">
        <f t="shared" si="121"/>
        <v>0</v>
      </c>
      <c r="AN284" s="69"/>
      <c r="AO284" s="69"/>
      <c r="AP284" s="69"/>
      <c r="AQ284" s="69">
        <f t="shared" si="119"/>
        <v>0</v>
      </c>
      <c r="AR284" s="69"/>
      <c r="AS284" s="69">
        <f t="shared" si="127"/>
        <v>0</v>
      </c>
      <c r="AT284" s="69">
        <f t="shared" si="128"/>
        <v>0</v>
      </c>
      <c r="AU284" s="248">
        <f t="shared" si="141"/>
        <v>0</v>
      </c>
      <c r="AV284" s="248"/>
      <c r="AW284" s="248"/>
      <c r="AX284" s="249"/>
      <c r="AY284" s="74"/>
      <c r="AZ284" s="74"/>
      <c r="BA284" s="75"/>
      <c r="BB284" s="76">
        <f t="shared" si="122"/>
        <v>0</v>
      </c>
      <c r="BC284" s="76">
        <f t="shared" si="142"/>
        <v>0</v>
      </c>
      <c r="BD284" s="251"/>
      <c r="BE284" s="251"/>
      <c r="BF284" s="251"/>
      <c r="BG284" s="78">
        <f t="shared" si="143"/>
        <v>0</v>
      </c>
      <c r="BH284" s="78"/>
      <c r="BI284" s="78">
        <f t="shared" si="129"/>
        <v>0</v>
      </c>
      <c r="BJ284" s="79">
        <f t="shared" si="130"/>
        <v>0</v>
      </c>
      <c r="BK284" s="79"/>
      <c r="BL284" s="79"/>
      <c r="BM284" s="235"/>
      <c r="BN284" s="127" t="s">
        <v>111</v>
      </c>
    </row>
    <row r="285" spans="1:66" ht="25.5" hidden="1">
      <c r="A285" s="236">
        <f t="shared" si="120"/>
        <v>212</v>
      </c>
      <c r="B285" s="237" t="s">
        <v>435</v>
      </c>
      <c r="C285" s="253" t="s">
        <v>436</v>
      </c>
      <c r="D285" s="237" t="s">
        <v>111</v>
      </c>
      <c r="E285" s="237"/>
      <c r="F285" s="237"/>
      <c r="G285" s="237"/>
      <c r="H285" s="238">
        <v>43586</v>
      </c>
      <c r="I285" s="238"/>
      <c r="J285" s="239"/>
      <c r="K285" s="240">
        <v>7.7499999999999999E-2</v>
      </c>
      <c r="L285" s="63">
        <v>7.4999999999999997E-2</v>
      </c>
      <c r="M285" s="241">
        <v>0.9</v>
      </c>
      <c r="N285" s="242">
        <v>7</v>
      </c>
      <c r="O285" s="242"/>
      <c r="P285" s="241">
        <v>12</v>
      </c>
      <c r="Q285" s="242">
        <f t="shared" si="138"/>
        <v>0</v>
      </c>
      <c r="R285" s="242">
        <f t="shared" si="125"/>
        <v>0</v>
      </c>
      <c r="S285" s="242">
        <f t="shared" si="139"/>
        <v>0</v>
      </c>
      <c r="T285" s="242">
        <f t="shared" si="126"/>
        <v>0</v>
      </c>
      <c r="U285" s="243">
        <v>0.606656065898319</v>
      </c>
      <c r="V285" s="242"/>
      <c r="W285" s="241"/>
      <c r="X285" s="242">
        <f t="shared" si="123"/>
        <v>0</v>
      </c>
      <c r="Y285" s="242">
        <f t="shared" si="123"/>
        <v>0</v>
      </c>
      <c r="Z285" s="244">
        <f t="shared" si="124"/>
        <v>0</v>
      </c>
      <c r="AA285" s="244">
        <f t="shared" si="124"/>
        <v>0</v>
      </c>
      <c r="AB285" s="244"/>
      <c r="AC285" s="244"/>
      <c r="AD285" s="244">
        <f t="shared" si="131"/>
        <v>0</v>
      </c>
      <c r="AE285" s="246">
        <v>0</v>
      </c>
      <c r="AF285" s="246">
        <f t="shared" si="140"/>
        <v>0</v>
      </c>
      <c r="AG285" s="246"/>
      <c r="AH285" s="247"/>
      <c r="AI285" s="247"/>
      <c r="AJ285" s="70"/>
      <c r="AK285" s="70"/>
      <c r="AL285" s="71"/>
      <c r="AM285" s="69">
        <f t="shared" si="121"/>
        <v>0</v>
      </c>
      <c r="AN285" s="69"/>
      <c r="AO285" s="69"/>
      <c r="AP285" s="69"/>
      <c r="AQ285" s="69">
        <f t="shared" si="119"/>
        <v>0</v>
      </c>
      <c r="AR285" s="69"/>
      <c r="AS285" s="69">
        <f t="shared" si="127"/>
        <v>0</v>
      </c>
      <c r="AT285" s="69">
        <f t="shared" si="128"/>
        <v>0</v>
      </c>
      <c r="AU285" s="248">
        <f t="shared" si="141"/>
        <v>0</v>
      </c>
      <c r="AV285" s="248"/>
      <c r="AW285" s="248"/>
      <c r="AX285" s="249"/>
      <c r="AY285" s="74"/>
      <c r="AZ285" s="74"/>
      <c r="BA285" s="75"/>
      <c r="BB285" s="76">
        <f t="shared" si="122"/>
        <v>0</v>
      </c>
      <c r="BC285" s="76">
        <f t="shared" si="142"/>
        <v>0</v>
      </c>
      <c r="BD285" s="251"/>
      <c r="BE285" s="251"/>
      <c r="BF285" s="251"/>
      <c r="BG285" s="78">
        <f t="shared" si="143"/>
        <v>0</v>
      </c>
      <c r="BH285" s="78"/>
      <c r="BI285" s="78">
        <f t="shared" si="129"/>
        <v>0</v>
      </c>
      <c r="BJ285" s="79">
        <f t="shared" si="130"/>
        <v>0</v>
      </c>
      <c r="BK285" s="79"/>
      <c r="BL285" s="79"/>
      <c r="BM285" s="235"/>
      <c r="BN285" s="127" t="s">
        <v>111</v>
      </c>
    </row>
    <row r="286" spans="1:66" ht="25.5" hidden="1">
      <c r="A286" s="236">
        <f t="shared" si="120"/>
        <v>213</v>
      </c>
      <c r="B286" s="237" t="s">
        <v>435</v>
      </c>
      <c r="C286" s="253" t="s">
        <v>436</v>
      </c>
      <c r="D286" s="237" t="s">
        <v>111</v>
      </c>
      <c r="E286" s="237"/>
      <c r="F286" s="237"/>
      <c r="G286" s="237"/>
      <c r="H286" s="238">
        <v>43617</v>
      </c>
      <c r="I286" s="238"/>
      <c r="J286" s="239"/>
      <c r="K286" s="240">
        <v>7.7499999999999999E-2</v>
      </c>
      <c r="L286" s="63">
        <v>7.4999999999999997E-2</v>
      </c>
      <c r="M286" s="241">
        <v>0.9</v>
      </c>
      <c r="N286" s="242">
        <v>6</v>
      </c>
      <c r="O286" s="242"/>
      <c r="P286" s="241">
        <v>12</v>
      </c>
      <c r="Q286" s="242">
        <f t="shared" si="138"/>
        <v>0</v>
      </c>
      <c r="R286" s="242">
        <f t="shared" si="125"/>
        <v>0</v>
      </c>
      <c r="S286" s="242">
        <f t="shared" si="139"/>
        <v>0</v>
      </c>
      <c r="T286" s="242">
        <f t="shared" si="126"/>
        <v>0</v>
      </c>
      <c r="U286" s="243">
        <v>0.606656065898319</v>
      </c>
      <c r="V286" s="242"/>
      <c r="W286" s="241"/>
      <c r="X286" s="242">
        <f t="shared" si="123"/>
        <v>0</v>
      </c>
      <c r="Y286" s="242">
        <f t="shared" si="123"/>
        <v>0</v>
      </c>
      <c r="Z286" s="244">
        <f t="shared" si="124"/>
        <v>0</v>
      </c>
      <c r="AA286" s="244">
        <f t="shared" si="124"/>
        <v>0</v>
      </c>
      <c r="AB286" s="244"/>
      <c r="AC286" s="244"/>
      <c r="AD286" s="244">
        <f t="shared" si="131"/>
        <v>0</v>
      </c>
      <c r="AE286" s="246">
        <v>0</v>
      </c>
      <c r="AF286" s="246">
        <f t="shared" si="140"/>
        <v>0</v>
      </c>
      <c r="AG286" s="246"/>
      <c r="AH286" s="247"/>
      <c r="AI286" s="247"/>
      <c r="AJ286" s="70"/>
      <c r="AK286" s="70"/>
      <c r="AL286" s="71"/>
      <c r="AM286" s="69">
        <f t="shared" si="121"/>
        <v>0</v>
      </c>
      <c r="AN286" s="69"/>
      <c r="AO286" s="69"/>
      <c r="AP286" s="69"/>
      <c r="AQ286" s="69">
        <f t="shared" si="119"/>
        <v>0</v>
      </c>
      <c r="AR286" s="69"/>
      <c r="AS286" s="69">
        <f t="shared" si="127"/>
        <v>0</v>
      </c>
      <c r="AT286" s="69">
        <f t="shared" si="128"/>
        <v>0</v>
      </c>
      <c r="AU286" s="248">
        <f t="shared" si="141"/>
        <v>0</v>
      </c>
      <c r="AV286" s="248"/>
      <c r="AW286" s="248"/>
      <c r="AX286" s="249"/>
      <c r="AY286" s="74"/>
      <c r="AZ286" s="74"/>
      <c r="BA286" s="75"/>
      <c r="BB286" s="76">
        <f t="shared" si="122"/>
        <v>0</v>
      </c>
      <c r="BC286" s="76">
        <f t="shared" si="142"/>
        <v>0</v>
      </c>
      <c r="BD286" s="251"/>
      <c r="BE286" s="251"/>
      <c r="BF286" s="251"/>
      <c r="BG286" s="78">
        <f t="shared" si="143"/>
        <v>0</v>
      </c>
      <c r="BH286" s="78"/>
      <c r="BI286" s="78">
        <f t="shared" si="129"/>
        <v>0</v>
      </c>
      <c r="BJ286" s="79">
        <f t="shared" si="130"/>
        <v>0</v>
      </c>
      <c r="BK286" s="79"/>
      <c r="BL286" s="79"/>
      <c r="BM286" s="235"/>
      <c r="BN286" s="127" t="s">
        <v>111</v>
      </c>
    </row>
    <row r="287" spans="1:66" ht="25.5" hidden="1">
      <c r="A287" s="236">
        <f t="shared" si="120"/>
        <v>214</v>
      </c>
      <c r="B287" s="237" t="s">
        <v>435</v>
      </c>
      <c r="C287" s="253" t="s">
        <v>436</v>
      </c>
      <c r="D287" s="237" t="s">
        <v>111</v>
      </c>
      <c r="E287" s="237"/>
      <c r="F287" s="237"/>
      <c r="G287" s="237"/>
      <c r="H287" s="238">
        <v>43647</v>
      </c>
      <c r="I287" s="238"/>
      <c r="J287" s="239"/>
      <c r="K287" s="240">
        <v>7.7499999999999999E-2</v>
      </c>
      <c r="L287" s="63">
        <v>7.4999999999999997E-2</v>
      </c>
      <c r="M287" s="241">
        <v>0.9</v>
      </c>
      <c r="N287" s="242">
        <v>5</v>
      </c>
      <c r="O287" s="242"/>
      <c r="P287" s="241">
        <v>12</v>
      </c>
      <c r="Q287" s="242">
        <f t="shared" si="138"/>
        <v>0</v>
      </c>
      <c r="R287" s="242">
        <f t="shared" si="125"/>
        <v>0</v>
      </c>
      <c r="S287" s="242">
        <f t="shared" si="139"/>
        <v>0</v>
      </c>
      <c r="T287" s="242">
        <f t="shared" si="126"/>
        <v>0</v>
      </c>
      <c r="U287" s="243">
        <v>0.606656065898319</v>
      </c>
      <c r="V287" s="242"/>
      <c r="W287" s="241"/>
      <c r="X287" s="242">
        <f t="shared" si="123"/>
        <v>0</v>
      </c>
      <c r="Y287" s="242">
        <f t="shared" si="123"/>
        <v>0</v>
      </c>
      <c r="Z287" s="244">
        <f t="shared" si="124"/>
        <v>0</v>
      </c>
      <c r="AA287" s="244">
        <f t="shared" si="124"/>
        <v>0</v>
      </c>
      <c r="AB287" s="244"/>
      <c r="AC287" s="244"/>
      <c r="AD287" s="244">
        <f t="shared" si="131"/>
        <v>0</v>
      </c>
      <c r="AE287" s="246">
        <v>0</v>
      </c>
      <c r="AF287" s="246">
        <f t="shared" si="140"/>
        <v>0</v>
      </c>
      <c r="AG287" s="246"/>
      <c r="AH287" s="247"/>
      <c r="AI287" s="247"/>
      <c r="AJ287" s="70"/>
      <c r="AK287" s="70"/>
      <c r="AL287" s="71"/>
      <c r="AM287" s="69">
        <f t="shared" si="121"/>
        <v>0</v>
      </c>
      <c r="AN287" s="69"/>
      <c r="AO287" s="69"/>
      <c r="AP287" s="69"/>
      <c r="AQ287" s="69">
        <f t="shared" si="119"/>
        <v>0</v>
      </c>
      <c r="AR287" s="69"/>
      <c r="AS287" s="69">
        <f t="shared" si="127"/>
        <v>0</v>
      </c>
      <c r="AT287" s="69">
        <f t="shared" si="128"/>
        <v>0</v>
      </c>
      <c r="AU287" s="248">
        <f t="shared" si="141"/>
        <v>0</v>
      </c>
      <c r="AV287" s="248"/>
      <c r="AW287" s="248"/>
      <c r="AX287" s="249"/>
      <c r="AY287" s="74"/>
      <c r="AZ287" s="74"/>
      <c r="BA287" s="75"/>
      <c r="BB287" s="76">
        <f t="shared" si="122"/>
        <v>0</v>
      </c>
      <c r="BC287" s="76">
        <f t="shared" si="142"/>
        <v>0</v>
      </c>
      <c r="BD287" s="251"/>
      <c r="BE287" s="251"/>
      <c r="BF287" s="251"/>
      <c r="BG287" s="78">
        <f t="shared" si="143"/>
        <v>0</v>
      </c>
      <c r="BH287" s="78"/>
      <c r="BI287" s="78">
        <f t="shared" si="129"/>
        <v>0</v>
      </c>
      <c r="BJ287" s="79">
        <f t="shared" si="130"/>
        <v>0</v>
      </c>
      <c r="BK287" s="79"/>
      <c r="BL287" s="79"/>
      <c r="BM287" s="235"/>
      <c r="BN287" s="127" t="s">
        <v>111</v>
      </c>
    </row>
    <row r="288" spans="1:66" ht="25.5" hidden="1">
      <c r="A288" s="236">
        <f t="shared" si="120"/>
        <v>215</v>
      </c>
      <c r="B288" s="237" t="s">
        <v>435</v>
      </c>
      <c r="C288" s="253" t="s">
        <v>436</v>
      </c>
      <c r="D288" s="237" t="s">
        <v>111</v>
      </c>
      <c r="E288" s="237"/>
      <c r="F288" s="237"/>
      <c r="G288" s="237"/>
      <c r="H288" s="238">
        <v>43678</v>
      </c>
      <c r="I288" s="238"/>
      <c r="J288" s="239"/>
      <c r="K288" s="240">
        <v>7.7499999999999999E-2</v>
      </c>
      <c r="L288" s="63">
        <v>7.4999999999999997E-2</v>
      </c>
      <c r="M288" s="241">
        <v>0.9</v>
      </c>
      <c r="N288" s="242">
        <v>4</v>
      </c>
      <c r="O288" s="242"/>
      <c r="P288" s="241">
        <v>12</v>
      </c>
      <c r="Q288" s="242">
        <f t="shared" si="138"/>
        <v>0</v>
      </c>
      <c r="R288" s="242">
        <f t="shared" si="125"/>
        <v>0</v>
      </c>
      <c r="S288" s="242">
        <f t="shared" si="139"/>
        <v>0</v>
      </c>
      <c r="T288" s="242">
        <f t="shared" si="126"/>
        <v>0</v>
      </c>
      <c r="U288" s="243">
        <v>0.606656065898319</v>
      </c>
      <c r="V288" s="242"/>
      <c r="W288" s="241"/>
      <c r="X288" s="242">
        <f t="shared" si="123"/>
        <v>0</v>
      </c>
      <c r="Y288" s="242">
        <f t="shared" si="123"/>
        <v>0</v>
      </c>
      <c r="Z288" s="244">
        <f t="shared" si="124"/>
        <v>0</v>
      </c>
      <c r="AA288" s="244">
        <f t="shared" si="124"/>
        <v>0</v>
      </c>
      <c r="AB288" s="244"/>
      <c r="AC288" s="244"/>
      <c r="AD288" s="244">
        <f t="shared" si="131"/>
        <v>0</v>
      </c>
      <c r="AE288" s="246">
        <v>0</v>
      </c>
      <c r="AF288" s="246">
        <f t="shared" si="140"/>
        <v>0</v>
      </c>
      <c r="AG288" s="246"/>
      <c r="AH288" s="247"/>
      <c r="AI288" s="247"/>
      <c r="AJ288" s="70"/>
      <c r="AK288" s="70"/>
      <c r="AL288" s="71"/>
      <c r="AM288" s="69">
        <f t="shared" si="121"/>
        <v>0</v>
      </c>
      <c r="AN288" s="69"/>
      <c r="AO288" s="69"/>
      <c r="AP288" s="69"/>
      <c r="AQ288" s="69">
        <f t="shared" si="119"/>
        <v>0</v>
      </c>
      <c r="AR288" s="69"/>
      <c r="AS288" s="69">
        <f t="shared" si="127"/>
        <v>0</v>
      </c>
      <c r="AT288" s="69">
        <f t="shared" si="128"/>
        <v>0</v>
      </c>
      <c r="AU288" s="248">
        <f t="shared" si="141"/>
        <v>0</v>
      </c>
      <c r="AV288" s="248"/>
      <c r="AW288" s="248"/>
      <c r="AX288" s="249"/>
      <c r="AY288" s="74"/>
      <c r="AZ288" s="74"/>
      <c r="BA288" s="75"/>
      <c r="BB288" s="76">
        <f t="shared" si="122"/>
        <v>0</v>
      </c>
      <c r="BC288" s="76">
        <f t="shared" si="142"/>
        <v>0</v>
      </c>
      <c r="BD288" s="251"/>
      <c r="BE288" s="251"/>
      <c r="BF288" s="251"/>
      <c r="BG288" s="78">
        <f t="shared" si="143"/>
        <v>0</v>
      </c>
      <c r="BH288" s="78"/>
      <c r="BI288" s="78">
        <f t="shared" si="129"/>
        <v>0</v>
      </c>
      <c r="BJ288" s="79">
        <f t="shared" si="130"/>
        <v>0</v>
      </c>
      <c r="BK288" s="79"/>
      <c r="BL288" s="79"/>
      <c r="BM288" s="235"/>
      <c r="BN288" s="127" t="s">
        <v>111</v>
      </c>
    </row>
    <row r="289" spans="1:66" ht="25.5" hidden="1">
      <c r="A289" s="236">
        <f t="shared" si="120"/>
        <v>216</v>
      </c>
      <c r="B289" s="237" t="s">
        <v>435</v>
      </c>
      <c r="C289" s="253" t="s">
        <v>436</v>
      </c>
      <c r="D289" s="237" t="s">
        <v>111</v>
      </c>
      <c r="E289" s="237"/>
      <c r="F289" s="237"/>
      <c r="G289" s="237"/>
      <c r="H289" s="238">
        <v>43709</v>
      </c>
      <c r="I289" s="238"/>
      <c r="J289" s="239"/>
      <c r="K289" s="240">
        <v>7.7499999999999999E-2</v>
      </c>
      <c r="L289" s="63">
        <v>7.4999999999999997E-2</v>
      </c>
      <c r="M289" s="241">
        <v>0.9</v>
      </c>
      <c r="N289" s="242">
        <v>3</v>
      </c>
      <c r="O289" s="242"/>
      <c r="P289" s="241">
        <v>12</v>
      </c>
      <c r="Q289" s="242">
        <f t="shared" si="138"/>
        <v>0</v>
      </c>
      <c r="R289" s="242">
        <f t="shared" si="125"/>
        <v>0</v>
      </c>
      <c r="S289" s="242">
        <f t="shared" si="139"/>
        <v>0</v>
      </c>
      <c r="T289" s="242">
        <f t="shared" si="126"/>
        <v>0</v>
      </c>
      <c r="U289" s="243">
        <v>0.606656065898319</v>
      </c>
      <c r="V289" s="242"/>
      <c r="W289" s="241"/>
      <c r="X289" s="242">
        <f t="shared" si="123"/>
        <v>0</v>
      </c>
      <c r="Y289" s="242">
        <f t="shared" si="123"/>
        <v>0</v>
      </c>
      <c r="Z289" s="244">
        <f t="shared" si="124"/>
        <v>0</v>
      </c>
      <c r="AA289" s="244">
        <f t="shared" si="124"/>
        <v>0</v>
      </c>
      <c r="AB289" s="244"/>
      <c r="AC289" s="244"/>
      <c r="AD289" s="244">
        <f t="shared" si="131"/>
        <v>0</v>
      </c>
      <c r="AE289" s="246">
        <v>0</v>
      </c>
      <c r="AF289" s="246">
        <f t="shared" si="140"/>
        <v>0</v>
      </c>
      <c r="AG289" s="246"/>
      <c r="AH289" s="247"/>
      <c r="AI289" s="247"/>
      <c r="AJ289" s="70"/>
      <c r="AK289" s="70"/>
      <c r="AL289" s="71"/>
      <c r="AM289" s="69">
        <f t="shared" si="121"/>
        <v>0</v>
      </c>
      <c r="AN289" s="69"/>
      <c r="AO289" s="69"/>
      <c r="AP289" s="69"/>
      <c r="AQ289" s="69">
        <f t="shared" si="119"/>
        <v>0</v>
      </c>
      <c r="AR289" s="69"/>
      <c r="AS289" s="69">
        <f t="shared" si="127"/>
        <v>0</v>
      </c>
      <c r="AT289" s="69">
        <f t="shared" si="128"/>
        <v>0</v>
      </c>
      <c r="AU289" s="248">
        <f t="shared" si="141"/>
        <v>0</v>
      </c>
      <c r="AV289" s="248"/>
      <c r="AW289" s="248"/>
      <c r="AX289" s="249"/>
      <c r="AY289" s="74"/>
      <c r="AZ289" s="74"/>
      <c r="BA289" s="75"/>
      <c r="BB289" s="76">
        <f t="shared" si="122"/>
        <v>0</v>
      </c>
      <c r="BC289" s="76">
        <f t="shared" si="142"/>
        <v>0</v>
      </c>
      <c r="BD289" s="251"/>
      <c r="BE289" s="251"/>
      <c r="BF289" s="251"/>
      <c r="BG289" s="78">
        <f t="shared" si="143"/>
        <v>0</v>
      </c>
      <c r="BH289" s="78"/>
      <c r="BI289" s="78">
        <f t="shared" si="129"/>
        <v>0</v>
      </c>
      <c r="BJ289" s="79">
        <f t="shared" si="130"/>
        <v>0</v>
      </c>
      <c r="BK289" s="79"/>
      <c r="BL289" s="79"/>
      <c r="BM289" s="235"/>
      <c r="BN289" s="127" t="s">
        <v>111</v>
      </c>
    </row>
    <row r="290" spans="1:66" ht="25.5" hidden="1">
      <c r="A290" s="236">
        <f t="shared" si="120"/>
        <v>217</v>
      </c>
      <c r="B290" s="237" t="s">
        <v>435</v>
      </c>
      <c r="C290" s="253" t="s">
        <v>436</v>
      </c>
      <c r="D290" s="237" t="s">
        <v>111</v>
      </c>
      <c r="E290" s="237"/>
      <c r="F290" s="237"/>
      <c r="G290" s="237"/>
      <c r="H290" s="238">
        <v>43739</v>
      </c>
      <c r="I290" s="238"/>
      <c r="J290" s="239"/>
      <c r="K290" s="240">
        <v>7.7499999999999999E-2</v>
      </c>
      <c r="L290" s="63">
        <v>7.4999999999999997E-2</v>
      </c>
      <c r="M290" s="241">
        <v>0.9</v>
      </c>
      <c r="N290" s="242">
        <v>2</v>
      </c>
      <c r="O290" s="242"/>
      <c r="P290" s="241">
        <v>12</v>
      </c>
      <c r="Q290" s="242">
        <f t="shared" si="138"/>
        <v>0</v>
      </c>
      <c r="R290" s="242">
        <f t="shared" si="125"/>
        <v>0</v>
      </c>
      <c r="S290" s="242">
        <f t="shared" si="139"/>
        <v>0</v>
      </c>
      <c r="T290" s="242">
        <f t="shared" si="126"/>
        <v>0</v>
      </c>
      <c r="U290" s="243">
        <v>0.606656065898319</v>
      </c>
      <c r="V290" s="242"/>
      <c r="W290" s="241"/>
      <c r="X290" s="242">
        <f t="shared" si="123"/>
        <v>0</v>
      </c>
      <c r="Y290" s="242">
        <f t="shared" si="123"/>
        <v>0</v>
      </c>
      <c r="Z290" s="244">
        <f t="shared" si="124"/>
        <v>0</v>
      </c>
      <c r="AA290" s="244">
        <f t="shared" si="124"/>
        <v>0</v>
      </c>
      <c r="AB290" s="244"/>
      <c r="AC290" s="244"/>
      <c r="AD290" s="244">
        <f t="shared" si="131"/>
        <v>0</v>
      </c>
      <c r="AE290" s="246">
        <v>0</v>
      </c>
      <c r="AF290" s="246">
        <f t="shared" si="140"/>
        <v>0</v>
      </c>
      <c r="AG290" s="246"/>
      <c r="AH290" s="247"/>
      <c r="AI290" s="247"/>
      <c r="AJ290" s="70"/>
      <c r="AK290" s="70"/>
      <c r="AL290" s="71"/>
      <c r="AM290" s="69">
        <f t="shared" si="121"/>
        <v>0</v>
      </c>
      <c r="AN290" s="69"/>
      <c r="AO290" s="69"/>
      <c r="AP290" s="69"/>
      <c r="AQ290" s="69">
        <f t="shared" si="119"/>
        <v>0</v>
      </c>
      <c r="AR290" s="69"/>
      <c r="AS290" s="69">
        <f t="shared" si="127"/>
        <v>0</v>
      </c>
      <c r="AT290" s="69">
        <f t="shared" si="128"/>
        <v>0</v>
      </c>
      <c r="AU290" s="248">
        <f t="shared" si="141"/>
        <v>0</v>
      </c>
      <c r="AV290" s="248"/>
      <c r="AW290" s="248"/>
      <c r="AX290" s="249"/>
      <c r="AY290" s="74"/>
      <c r="AZ290" s="74"/>
      <c r="BA290" s="75"/>
      <c r="BB290" s="76">
        <f t="shared" si="122"/>
        <v>0</v>
      </c>
      <c r="BC290" s="76">
        <f t="shared" si="142"/>
        <v>0</v>
      </c>
      <c r="BD290" s="251"/>
      <c r="BE290" s="251"/>
      <c r="BF290" s="251"/>
      <c r="BG290" s="78">
        <f t="shared" si="143"/>
        <v>0</v>
      </c>
      <c r="BH290" s="78"/>
      <c r="BI290" s="78">
        <f t="shared" si="129"/>
        <v>0</v>
      </c>
      <c r="BJ290" s="79">
        <f t="shared" si="130"/>
        <v>0</v>
      </c>
      <c r="BK290" s="79"/>
      <c r="BL290" s="79"/>
      <c r="BM290" s="235"/>
      <c r="BN290" s="127" t="s">
        <v>111</v>
      </c>
    </row>
    <row r="291" spans="1:66" ht="25.5" hidden="1">
      <c r="A291" s="236">
        <f t="shared" si="120"/>
        <v>218</v>
      </c>
      <c r="B291" s="237" t="s">
        <v>435</v>
      </c>
      <c r="C291" s="253" t="s">
        <v>436</v>
      </c>
      <c r="D291" s="237" t="s">
        <v>111</v>
      </c>
      <c r="E291" s="237"/>
      <c r="F291" s="237"/>
      <c r="G291" s="237"/>
      <c r="H291" s="238">
        <v>43770</v>
      </c>
      <c r="I291" s="238"/>
      <c r="J291" s="239"/>
      <c r="K291" s="240">
        <v>7.7499999999999999E-2</v>
      </c>
      <c r="L291" s="63">
        <v>7.4999999999999997E-2</v>
      </c>
      <c r="M291" s="241">
        <v>0.9</v>
      </c>
      <c r="N291" s="242">
        <v>1</v>
      </c>
      <c r="O291" s="242"/>
      <c r="P291" s="241">
        <v>12</v>
      </c>
      <c r="Q291" s="242">
        <f t="shared" si="138"/>
        <v>0</v>
      </c>
      <c r="R291" s="242">
        <f t="shared" si="125"/>
        <v>0</v>
      </c>
      <c r="S291" s="242">
        <f t="shared" si="139"/>
        <v>0</v>
      </c>
      <c r="T291" s="242">
        <f t="shared" si="126"/>
        <v>0</v>
      </c>
      <c r="U291" s="243">
        <v>0.606656065898319</v>
      </c>
      <c r="V291" s="242"/>
      <c r="W291" s="241"/>
      <c r="X291" s="242">
        <f t="shared" si="123"/>
        <v>0</v>
      </c>
      <c r="Y291" s="242">
        <f t="shared" si="123"/>
        <v>0</v>
      </c>
      <c r="Z291" s="244">
        <f t="shared" si="124"/>
        <v>0</v>
      </c>
      <c r="AA291" s="244">
        <f t="shared" si="124"/>
        <v>0</v>
      </c>
      <c r="AB291" s="244"/>
      <c r="AC291" s="244"/>
      <c r="AD291" s="244">
        <f t="shared" si="131"/>
        <v>0</v>
      </c>
      <c r="AE291" s="246">
        <v>0</v>
      </c>
      <c r="AF291" s="246">
        <f t="shared" si="140"/>
        <v>0</v>
      </c>
      <c r="AG291" s="246"/>
      <c r="AH291" s="247"/>
      <c r="AI291" s="247"/>
      <c r="AJ291" s="70"/>
      <c r="AK291" s="70"/>
      <c r="AL291" s="71"/>
      <c r="AM291" s="69">
        <f t="shared" si="121"/>
        <v>0</v>
      </c>
      <c r="AN291" s="69"/>
      <c r="AO291" s="69"/>
      <c r="AP291" s="69"/>
      <c r="AQ291" s="69">
        <f t="shared" si="119"/>
        <v>0</v>
      </c>
      <c r="AR291" s="69"/>
      <c r="AS291" s="69">
        <f t="shared" si="127"/>
        <v>0</v>
      </c>
      <c r="AT291" s="69">
        <f t="shared" si="128"/>
        <v>0</v>
      </c>
      <c r="AU291" s="248">
        <f t="shared" si="141"/>
        <v>0</v>
      </c>
      <c r="AV291" s="248"/>
      <c r="AW291" s="248"/>
      <c r="AX291" s="249"/>
      <c r="AY291" s="74"/>
      <c r="AZ291" s="74"/>
      <c r="BA291" s="75"/>
      <c r="BB291" s="76">
        <f t="shared" si="122"/>
        <v>0</v>
      </c>
      <c r="BC291" s="76">
        <f t="shared" si="142"/>
        <v>0</v>
      </c>
      <c r="BD291" s="251"/>
      <c r="BE291" s="251"/>
      <c r="BF291" s="251"/>
      <c r="BG291" s="78">
        <f t="shared" si="143"/>
        <v>0</v>
      </c>
      <c r="BH291" s="78"/>
      <c r="BI291" s="78">
        <f t="shared" si="129"/>
        <v>0</v>
      </c>
      <c r="BJ291" s="79">
        <f t="shared" si="130"/>
        <v>0</v>
      </c>
      <c r="BK291" s="79"/>
      <c r="BL291" s="79"/>
      <c r="BM291" s="235"/>
      <c r="BN291" s="127" t="s">
        <v>111</v>
      </c>
    </row>
    <row r="292" spans="1:66" ht="25.5" hidden="1">
      <c r="A292" s="236">
        <f t="shared" si="120"/>
        <v>219</v>
      </c>
      <c r="B292" s="237" t="s">
        <v>435</v>
      </c>
      <c r="C292" s="253" t="s">
        <v>436</v>
      </c>
      <c r="D292" s="237" t="s">
        <v>111</v>
      </c>
      <c r="E292" s="237"/>
      <c r="F292" s="237"/>
      <c r="G292" s="237"/>
      <c r="H292" s="238">
        <v>43800</v>
      </c>
      <c r="I292" s="238"/>
      <c r="J292" s="239"/>
      <c r="K292" s="240">
        <v>7.7499999999999999E-2</v>
      </c>
      <c r="L292" s="63">
        <v>7.4999999999999997E-2</v>
      </c>
      <c r="M292" s="241">
        <v>0.9</v>
      </c>
      <c r="N292" s="242">
        <v>0</v>
      </c>
      <c r="O292" s="242"/>
      <c r="P292" s="241">
        <v>12</v>
      </c>
      <c r="Q292" s="242">
        <f t="shared" si="138"/>
        <v>0</v>
      </c>
      <c r="R292" s="242">
        <f t="shared" si="125"/>
        <v>0</v>
      </c>
      <c r="S292" s="242">
        <f t="shared" si="139"/>
        <v>0</v>
      </c>
      <c r="T292" s="242">
        <f t="shared" si="126"/>
        <v>0</v>
      </c>
      <c r="U292" s="243">
        <v>0.606656065898319</v>
      </c>
      <c r="V292" s="242"/>
      <c r="W292" s="241"/>
      <c r="X292" s="242">
        <f t="shared" si="123"/>
        <v>0</v>
      </c>
      <c r="Y292" s="242">
        <f t="shared" si="123"/>
        <v>0</v>
      </c>
      <c r="Z292" s="244">
        <f t="shared" si="124"/>
        <v>0</v>
      </c>
      <c r="AA292" s="244">
        <f t="shared" si="124"/>
        <v>0</v>
      </c>
      <c r="AB292" s="244"/>
      <c r="AC292" s="244"/>
      <c r="AD292" s="244">
        <f t="shared" si="131"/>
        <v>0</v>
      </c>
      <c r="AE292" s="246">
        <v>0</v>
      </c>
      <c r="AF292" s="246">
        <f t="shared" si="140"/>
        <v>0</v>
      </c>
      <c r="AG292" s="246"/>
      <c r="AH292" s="247"/>
      <c r="AI292" s="247"/>
      <c r="AJ292" s="70"/>
      <c r="AK292" s="70"/>
      <c r="AL292" s="71"/>
      <c r="AM292" s="69">
        <f t="shared" si="121"/>
        <v>0</v>
      </c>
      <c r="AN292" s="69"/>
      <c r="AO292" s="69"/>
      <c r="AP292" s="69"/>
      <c r="AQ292" s="69">
        <f t="shared" si="119"/>
        <v>0</v>
      </c>
      <c r="AR292" s="69"/>
      <c r="AS292" s="69">
        <f t="shared" si="127"/>
        <v>0</v>
      </c>
      <c r="AT292" s="69">
        <f t="shared" si="128"/>
        <v>0</v>
      </c>
      <c r="AU292" s="248">
        <f t="shared" si="141"/>
        <v>0</v>
      </c>
      <c r="AV292" s="248"/>
      <c r="AW292" s="248"/>
      <c r="AX292" s="249"/>
      <c r="AY292" s="74"/>
      <c r="AZ292" s="74"/>
      <c r="BA292" s="75"/>
      <c r="BB292" s="76">
        <f t="shared" si="122"/>
        <v>0</v>
      </c>
      <c r="BC292" s="76">
        <f t="shared" si="142"/>
        <v>0</v>
      </c>
      <c r="BD292" s="251"/>
      <c r="BE292" s="251"/>
      <c r="BF292" s="251"/>
      <c r="BG292" s="78">
        <f t="shared" si="143"/>
        <v>0</v>
      </c>
      <c r="BH292" s="78"/>
      <c r="BI292" s="78">
        <f t="shared" si="129"/>
        <v>0</v>
      </c>
      <c r="BJ292" s="79">
        <f t="shared" si="130"/>
        <v>0</v>
      </c>
      <c r="BK292" s="79"/>
      <c r="BL292" s="79"/>
      <c r="BM292" s="235"/>
      <c r="BN292" s="127" t="s">
        <v>111</v>
      </c>
    </row>
    <row r="293" spans="1:66" s="112" customFormat="1" ht="25.5">
      <c r="A293" s="84">
        <f>A281+1</f>
        <v>209</v>
      </c>
      <c r="B293" s="85" t="s">
        <v>437</v>
      </c>
      <c r="C293" s="86" t="s">
        <v>438</v>
      </c>
      <c r="D293" s="85" t="s">
        <v>120</v>
      </c>
      <c r="E293" s="87" t="s">
        <v>98</v>
      </c>
      <c r="F293" s="89"/>
      <c r="G293" s="89"/>
      <c r="H293" s="90">
        <v>43497</v>
      </c>
      <c r="I293" s="90">
        <v>43497</v>
      </c>
      <c r="J293" s="91">
        <v>60000000</v>
      </c>
      <c r="K293" s="92">
        <v>7.7499999999999999E-2</v>
      </c>
      <c r="L293" s="63">
        <v>7.4999999999999997E-2</v>
      </c>
      <c r="M293" s="93">
        <v>0.9</v>
      </c>
      <c r="N293" s="94">
        <v>10</v>
      </c>
      <c r="O293" s="94"/>
      <c r="P293" s="93">
        <v>12</v>
      </c>
      <c r="Q293" s="95">
        <f t="shared" si="138"/>
        <v>3487500</v>
      </c>
      <c r="R293" s="94">
        <f t="shared" si="125"/>
        <v>36399363.953899138</v>
      </c>
      <c r="S293" s="95">
        <f t="shared" si="139"/>
        <v>2115713.0298203877</v>
      </c>
      <c r="T293" s="95">
        <f t="shared" si="126"/>
        <v>1371786.9701796123</v>
      </c>
      <c r="U293" s="96">
        <v>0.606656065898319</v>
      </c>
      <c r="V293" s="94"/>
      <c r="W293" s="97"/>
      <c r="X293" s="95">
        <f t="shared" si="123"/>
        <v>36399363.953899138</v>
      </c>
      <c r="Y293" s="95">
        <f t="shared" si="123"/>
        <v>2115713.0298203877</v>
      </c>
      <c r="Z293" s="98">
        <f t="shared" si="124"/>
        <v>36399363.953899138</v>
      </c>
      <c r="AA293" s="98">
        <f>SUM(Y293)-532354.75</f>
        <v>1583358.2798203877</v>
      </c>
      <c r="AB293" s="98">
        <f>3487499.99-AB294-AB295</f>
        <v>1583358.28</v>
      </c>
      <c r="AC293" s="98"/>
      <c r="AD293" s="98">
        <f t="shared" si="131"/>
        <v>-1.7961231060326099E-4</v>
      </c>
      <c r="AE293" s="100">
        <v>0.11455891281366348</v>
      </c>
      <c r="AF293" s="100">
        <f t="shared" si="140"/>
        <v>-3.433449187159111E-3</v>
      </c>
      <c r="AG293" s="100"/>
      <c r="AH293" s="101"/>
      <c r="AI293" s="101"/>
      <c r="AJ293" s="101"/>
      <c r="AK293" s="101"/>
      <c r="AL293" s="101"/>
      <c r="AM293" s="104">
        <f t="shared" si="121"/>
        <v>-1.7961231060326099E-4</v>
      </c>
      <c r="AN293" s="104"/>
      <c r="AO293" s="104"/>
      <c r="AP293" s="104"/>
      <c r="AQ293" s="104">
        <f t="shared" si="119"/>
        <v>-1.7961231060326099E-4</v>
      </c>
      <c r="AR293" s="104"/>
      <c r="AS293" s="104">
        <f t="shared" si="127"/>
        <v>-1.7961231060326099E-4</v>
      </c>
      <c r="AT293" s="104">
        <f t="shared" si="128"/>
        <v>0</v>
      </c>
      <c r="AU293" s="181">
        <f t="shared" si="141"/>
        <v>-3.8626303355540001E-3</v>
      </c>
      <c r="AV293" s="106"/>
      <c r="AW293" s="106"/>
      <c r="AX293" s="107"/>
      <c r="AY293" s="107"/>
      <c r="AZ293" s="107"/>
      <c r="BA293" s="107"/>
      <c r="BB293" s="108">
        <f t="shared" si="122"/>
        <v>-3.8626303355540001E-3</v>
      </c>
      <c r="BC293" s="108">
        <f t="shared" si="142"/>
        <v>-4.4144346692045712E-3</v>
      </c>
      <c r="BD293" s="109"/>
      <c r="BE293" s="109"/>
      <c r="BF293" s="109"/>
      <c r="BG293" s="110">
        <f t="shared" si="143"/>
        <v>-5.1501737807386665E-3</v>
      </c>
      <c r="BH293" s="110"/>
      <c r="BI293" s="110">
        <f t="shared" si="129"/>
        <v>-1.7961231060326099E-4</v>
      </c>
      <c r="BJ293" s="116">
        <f t="shared" si="130"/>
        <v>-7.9827693601449336E-3</v>
      </c>
      <c r="BK293" s="116"/>
      <c r="BL293" s="79"/>
      <c r="BM293" s="111"/>
    </row>
    <row r="294" spans="1:66" s="112" customFormat="1" ht="25.5">
      <c r="A294" s="84">
        <f t="shared" si="120"/>
        <v>210</v>
      </c>
      <c r="B294" s="85" t="s">
        <v>437</v>
      </c>
      <c r="C294" s="86" t="s">
        <v>438</v>
      </c>
      <c r="D294" s="85" t="s">
        <v>120</v>
      </c>
      <c r="E294" s="87"/>
      <c r="F294" s="89"/>
      <c r="G294" s="89"/>
      <c r="H294" s="90">
        <v>43586</v>
      </c>
      <c r="I294" s="90">
        <v>43586</v>
      </c>
      <c r="J294" s="91">
        <v>60000000</v>
      </c>
      <c r="K294" s="92">
        <v>7.7499999999999999E-2</v>
      </c>
      <c r="L294" s="63">
        <v>7.4999999999999997E-2</v>
      </c>
      <c r="M294" s="93">
        <v>0.9</v>
      </c>
      <c r="N294" s="94">
        <v>7</v>
      </c>
      <c r="O294" s="94"/>
      <c r="P294" s="93">
        <v>12</v>
      </c>
      <c r="Q294" s="95">
        <f t="shared" si="138"/>
        <v>2441250</v>
      </c>
      <c r="R294" s="94">
        <f t="shared" si="125"/>
        <v>36399363.953899138</v>
      </c>
      <c r="S294" s="95">
        <f t="shared" si="139"/>
        <v>1480999.120874271</v>
      </c>
      <c r="T294" s="95">
        <f t="shared" si="126"/>
        <v>960250.87912572897</v>
      </c>
      <c r="U294" s="96">
        <v>0.606656065898319</v>
      </c>
      <c r="V294" s="94"/>
      <c r="W294" s="97"/>
      <c r="X294" s="95">
        <f t="shared" si="123"/>
        <v>36399363.953899138</v>
      </c>
      <c r="Y294" s="95">
        <f t="shared" si="123"/>
        <v>1480999.120874271</v>
      </c>
      <c r="Z294" s="98">
        <f t="shared" si="124"/>
        <v>36399363.953899138</v>
      </c>
      <c r="AA294" s="98">
        <f t="shared" si="124"/>
        <v>1480999.120874271</v>
      </c>
      <c r="AB294" s="98">
        <v>1480999.12</v>
      </c>
      <c r="AC294" s="98"/>
      <c r="AD294" s="98">
        <f t="shared" si="131"/>
        <v>8.7427091784775257E-4</v>
      </c>
      <c r="AE294" s="100">
        <v>0</v>
      </c>
      <c r="AF294" s="100">
        <f t="shared" si="140"/>
        <v>1.6712466768893718E-2</v>
      </c>
      <c r="AG294" s="100"/>
      <c r="AH294" s="101"/>
      <c r="AI294" s="101"/>
      <c r="AJ294" s="101"/>
      <c r="AK294" s="101"/>
      <c r="AL294" s="101"/>
      <c r="AM294" s="104">
        <f t="shared" si="121"/>
        <v>8.7427091784775257E-4</v>
      </c>
      <c r="AN294" s="104"/>
      <c r="AO294" s="104"/>
      <c r="AP294" s="104"/>
      <c r="AQ294" s="104">
        <f t="shared" si="119"/>
        <v>8.7427091784775257E-4</v>
      </c>
      <c r="AR294" s="104"/>
      <c r="AS294" s="104">
        <f t="shared" si="127"/>
        <v>8.7427091784775257E-4</v>
      </c>
      <c r="AT294" s="104">
        <f t="shared" si="128"/>
        <v>0</v>
      </c>
      <c r="AU294" s="181">
        <f t="shared" si="141"/>
        <v>1.8801525115005432E-2</v>
      </c>
      <c r="AV294" s="106"/>
      <c r="AW294" s="106"/>
      <c r="AX294" s="107"/>
      <c r="AY294" s="107"/>
      <c r="AZ294" s="107"/>
      <c r="BA294" s="107"/>
      <c r="BB294" s="108">
        <f t="shared" si="122"/>
        <v>1.8801525115005432E-2</v>
      </c>
      <c r="BC294" s="108">
        <f t="shared" si="142"/>
        <v>2.1487457274291924E-2</v>
      </c>
      <c r="BD294" s="109"/>
      <c r="BE294" s="109"/>
      <c r="BF294" s="109"/>
      <c r="BG294" s="110">
        <f t="shared" si="143"/>
        <v>2.5068700153340576E-2</v>
      </c>
      <c r="BH294" s="110"/>
      <c r="BI294" s="110">
        <f t="shared" si="129"/>
        <v>8.7427091784775257E-4</v>
      </c>
      <c r="BJ294" s="116">
        <f t="shared" si="130"/>
        <v>3.8856485237677894E-2</v>
      </c>
      <c r="BK294" s="116"/>
      <c r="BL294" s="79"/>
      <c r="BM294" s="111"/>
    </row>
    <row r="295" spans="1:66" s="112" customFormat="1" ht="25.5">
      <c r="A295" s="84">
        <f t="shared" si="120"/>
        <v>211</v>
      </c>
      <c r="B295" s="85" t="s">
        <v>437</v>
      </c>
      <c r="C295" s="86" t="s">
        <v>438</v>
      </c>
      <c r="D295" s="85" t="s">
        <v>120</v>
      </c>
      <c r="E295" s="87"/>
      <c r="F295" s="89"/>
      <c r="G295" s="89"/>
      <c r="H295" s="90">
        <v>43739</v>
      </c>
      <c r="I295" s="90">
        <v>43739</v>
      </c>
      <c r="J295" s="91">
        <v>60000000</v>
      </c>
      <c r="K295" s="92">
        <v>7.7499999999999999E-2</v>
      </c>
      <c r="L295" s="63">
        <v>7.4999999999999997E-2</v>
      </c>
      <c r="M295" s="93">
        <v>0.9</v>
      </c>
      <c r="N295" s="94">
        <v>2</v>
      </c>
      <c r="O295" s="94"/>
      <c r="P295" s="93">
        <v>12</v>
      </c>
      <c r="Q295" s="95">
        <f t="shared" si="138"/>
        <v>697500</v>
      </c>
      <c r="R295" s="94">
        <f t="shared" si="125"/>
        <v>36399363.953899138</v>
      </c>
      <c r="S295" s="95">
        <f t="shared" si="139"/>
        <v>423142.60596407746</v>
      </c>
      <c r="T295" s="95">
        <f t="shared" si="126"/>
        <v>274357.39403592254</v>
      </c>
      <c r="U295" s="96">
        <v>0.606656065898319</v>
      </c>
      <c r="V295" s="94"/>
      <c r="W295" s="97"/>
      <c r="X295" s="95">
        <f t="shared" si="123"/>
        <v>36399363.953899138</v>
      </c>
      <c r="Y295" s="95">
        <f t="shared" si="123"/>
        <v>423142.60596407746</v>
      </c>
      <c r="Z295" s="98">
        <f t="shared" si="124"/>
        <v>36399363.953899138</v>
      </c>
      <c r="AA295" s="98">
        <f t="shared" si="124"/>
        <v>423142.60596407746</v>
      </c>
      <c r="AB295" s="98">
        <v>423142.59</v>
      </c>
      <c r="AC295" s="98"/>
      <c r="AD295" s="98">
        <f t="shared" si="131"/>
        <v>1.5964077436365187E-2</v>
      </c>
      <c r="AE295" s="100">
        <v>0</v>
      </c>
      <c r="AF295" s="100">
        <f t="shared" si="140"/>
        <v>0.30516754956014697</v>
      </c>
      <c r="AG295" s="100"/>
      <c r="AH295" s="101"/>
      <c r="AI295" s="101"/>
      <c r="AJ295" s="101"/>
      <c r="AK295" s="101"/>
      <c r="AL295" s="101"/>
      <c r="AM295" s="104">
        <f t="shared" si="121"/>
        <v>1.5964077436365187E-2</v>
      </c>
      <c r="AN295" s="104"/>
      <c r="AO295" s="104"/>
      <c r="AP295" s="104"/>
      <c r="AQ295" s="104">
        <f t="shared" si="119"/>
        <v>1.5964077436365187E-2</v>
      </c>
      <c r="AR295" s="104"/>
      <c r="AS295" s="104">
        <f t="shared" si="127"/>
        <v>1.5964077436365187E-2</v>
      </c>
      <c r="AT295" s="104">
        <f t="shared" si="128"/>
        <v>0</v>
      </c>
      <c r="AU295" s="181">
        <f t="shared" si="141"/>
        <v>0.3433134932551653</v>
      </c>
      <c r="AV295" s="106"/>
      <c r="AW295" s="106"/>
      <c r="AX295" s="107"/>
      <c r="AY295" s="107"/>
      <c r="AZ295" s="107"/>
      <c r="BA295" s="107"/>
      <c r="BB295" s="108">
        <f t="shared" si="122"/>
        <v>0.3433134932551653</v>
      </c>
      <c r="BC295" s="108">
        <f t="shared" si="142"/>
        <v>0.39235827800590328</v>
      </c>
      <c r="BD295" s="109"/>
      <c r="BE295" s="109"/>
      <c r="BF295" s="109"/>
      <c r="BG295" s="110">
        <f t="shared" si="143"/>
        <v>0.45775132434022048</v>
      </c>
      <c r="BH295" s="110"/>
      <c r="BI295" s="110">
        <f t="shared" si="129"/>
        <v>1.5964077436365187E-2</v>
      </c>
      <c r="BJ295" s="116">
        <f t="shared" si="130"/>
        <v>0.70951455272734165</v>
      </c>
      <c r="BK295" s="116"/>
      <c r="BL295" s="79"/>
      <c r="BM295" s="111"/>
    </row>
    <row r="296" spans="1:66" s="170" customFormat="1" ht="38.25" hidden="1">
      <c r="A296" s="150"/>
      <c r="B296" s="151" t="s">
        <v>437</v>
      </c>
      <c r="C296" s="152" t="s">
        <v>438</v>
      </c>
      <c r="D296" s="153"/>
      <c r="E296" s="127" t="s">
        <v>98</v>
      </c>
      <c r="F296" s="153"/>
      <c r="G296" s="153"/>
      <c r="H296" s="155"/>
      <c r="I296" s="155"/>
      <c r="J296" s="156"/>
      <c r="K296" s="157"/>
      <c r="L296" s="63">
        <v>7.4999999999999997E-2</v>
      </c>
      <c r="M296" s="64">
        <v>0.9</v>
      </c>
      <c r="N296" s="65">
        <v>9</v>
      </c>
      <c r="O296" s="65">
        <v>4</v>
      </c>
      <c r="P296" s="64">
        <v>12</v>
      </c>
      <c r="Q296" s="158"/>
      <c r="R296" s="158"/>
      <c r="S296" s="158"/>
      <c r="T296" s="158"/>
      <c r="U296" s="159"/>
      <c r="V296" s="158"/>
      <c r="W296" s="160"/>
      <c r="X296" s="158"/>
      <c r="Y296" s="158"/>
      <c r="Z296" s="161"/>
      <c r="AA296" s="161"/>
      <c r="AB296" s="161"/>
      <c r="AC296" s="161"/>
      <c r="AD296" s="161"/>
      <c r="AE296" s="163"/>
      <c r="AF296" s="163"/>
      <c r="AG296" s="163"/>
      <c r="AH296" s="102"/>
      <c r="AI296" s="102"/>
      <c r="AJ296" s="102"/>
      <c r="AK296" s="102"/>
      <c r="AL296" s="102"/>
      <c r="AM296" s="70"/>
      <c r="AN296" s="70"/>
      <c r="AO296" s="70"/>
      <c r="AP296" s="70"/>
      <c r="AQ296" s="70"/>
      <c r="AR296" s="70"/>
      <c r="AS296" s="69">
        <f t="shared" si="127"/>
        <v>0</v>
      </c>
      <c r="AT296" s="69">
        <f t="shared" si="128"/>
        <v>0</v>
      </c>
      <c r="AU296" s="136"/>
      <c r="AV296" s="165"/>
      <c r="AW296" s="165"/>
      <c r="AX296" s="166"/>
      <c r="AY296" s="166"/>
      <c r="AZ296" s="166"/>
      <c r="BA296" s="166"/>
      <c r="BB296" s="137"/>
      <c r="BC296" s="137"/>
      <c r="BD296" s="167"/>
      <c r="BE296" s="167"/>
      <c r="BF296" s="167"/>
      <c r="BG296" s="168"/>
      <c r="BH296" s="168"/>
      <c r="BI296" s="78">
        <f t="shared" si="129"/>
        <v>0</v>
      </c>
      <c r="BJ296" s="79">
        <f t="shared" si="130"/>
        <v>0</v>
      </c>
      <c r="BK296" s="79"/>
      <c r="BL296" s="169">
        <v>60000000</v>
      </c>
      <c r="BM296" s="186" t="s">
        <v>72</v>
      </c>
      <c r="BN296" s="186" t="s">
        <v>76</v>
      </c>
    </row>
    <row r="297" spans="1:66" s="81" customFormat="1" ht="25.5">
      <c r="A297" s="56">
        <f>A295+1</f>
        <v>212</v>
      </c>
      <c r="B297" s="57" t="s">
        <v>439</v>
      </c>
      <c r="C297" s="58" t="s">
        <v>440</v>
      </c>
      <c r="D297" s="57" t="s">
        <v>97</v>
      </c>
      <c r="E297" s="57" t="s">
        <v>65</v>
      </c>
      <c r="F297" s="57"/>
      <c r="G297" s="57"/>
      <c r="H297" s="60">
        <v>43497</v>
      </c>
      <c r="I297" s="61" t="s">
        <v>66</v>
      </c>
      <c r="J297" s="62">
        <v>10000000</v>
      </c>
      <c r="K297" s="63">
        <v>7.7499999999999999E-2</v>
      </c>
      <c r="L297" s="63">
        <v>7.4999999999999997E-2</v>
      </c>
      <c r="M297" s="64">
        <v>0.9</v>
      </c>
      <c r="N297" s="65">
        <v>10</v>
      </c>
      <c r="O297" s="65">
        <v>4</v>
      </c>
      <c r="P297" s="64">
        <v>12</v>
      </c>
      <c r="Q297" s="65">
        <f t="shared" ref="Q297:Q318" si="144">J297*K297*M297*N297/P297</f>
        <v>581250</v>
      </c>
      <c r="R297" s="65">
        <f t="shared" si="125"/>
        <v>6066560.6589831896</v>
      </c>
      <c r="S297" s="65">
        <f t="shared" ref="S297:S318" si="145">R297*K297*M297*N297/P297</f>
        <v>352618.83830339788</v>
      </c>
      <c r="T297" s="65">
        <f t="shared" si="126"/>
        <v>228631.16169660212</v>
      </c>
      <c r="U297" s="66">
        <v>0.606656065898319</v>
      </c>
      <c r="V297" s="65"/>
      <c r="W297" s="64"/>
      <c r="X297" s="65">
        <f t="shared" si="123"/>
        <v>6066560.6589831896</v>
      </c>
      <c r="Y297" s="65">
        <f t="shared" si="123"/>
        <v>352618.83830339788</v>
      </c>
      <c r="Z297" s="67">
        <f t="shared" si="124"/>
        <v>6066560.6589831896</v>
      </c>
      <c r="AA297" s="67">
        <f t="shared" si="124"/>
        <v>352618.83830339788</v>
      </c>
      <c r="AB297" s="67"/>
      <c r="AC297" s="67"/>
      <c r="AD297" s="67">
        <f t="shared" si="131"/>
        <v>352618.83830339788</v>
      </c>
      <c r="AE297" s="68">
        <v>6066560.6589831896</v>
      </c>
      <c r="AF297" s="68">
        <f t="shared" ref="AF297:AF306" si="146">AD297/K297/M297/9*P297</f>
        <v>6740622.9544257652</v>
      </c>
      <c r="AG297" s="68"/>
      <c r="AH297" s="69"/>
      <c r="AI297" s="69"/>
      <c r="AJ297" s="70"/>
      <c r="AK297" s="70"/>
      <c r="AL297" s="71"/>
      <c r="AM297" s="69">
        <f t="shared" si="121"/>
        <v>352618.83830339788</v>
      </c>
      <c r="AN297" s="69"/>
      <c r="AO297" s="69"/>
      <c r="AP297" s="69"/>
      <c r="AQ297" s="69">
        <f t="shared" si="119"/>
        <v>352618.83830339788</v>
      </c>
      <c r="AR297" s="69"/>
      <c r="AS297" s="69">
        <f t="shared" si="127"/>
        <v>352618.83830339788</v>
      </c>
      <c r="AT297" s="69">
        <f t="shared" si="128"/>
        <v>225000</v>
      </c>
      <c r="AU297" s="72">
        <f t="shared" ref="AU297:AU304" si="147">AD297/K297/M297/8*P297</f>
        <v>7583200.8237289861</v>
      </c>
      <c r="AV297" s="72"/>
      <c r="AW297" s="72"/>
      <c r="AX297" s="73"/>
      <c r="AY297" s="74"/>
      <c r="AZ297" s="74"/>
      <c r="BA297" s="75"/>
      <c r="BB297" s="76">
        <f t="shared" si="122"/>
        <v>7583200.8237289861</v>
      </c>
      <c r="BC297" s="76">
        <f t="shared" ref="BC297:BC318" si="148">AM297/K297/M297/7*P297</f>
        <v>8666515.2271188423</v>
      </c>
      <c r="BD297" s="77"/>
      <c r="BE297" s="77"/>
      <c r="BF297" s="77"/>
      <c r="BG297" s="78">
        <f t="shared" ref="BG297:BG318" si="149">AQ297/K297/M297/6*P297</f>
        <v>10110934.431638649</v>
      </c>
      <c r="BH297" s="78"/>
      <c r="BI297" s="78">
        <f t="shared" si="129"/>
        <v>127618.83830339788</v>
      </c>
      <c r="BJ297" s="79">
        <f t="shared" si="130"/>
        <v>15671948.369039906</v>
      </c>
      <c r="BK297" s="79">
        <v>10000000</v>
      </c>
      <c r="BL297" s="79">
        <v>10000000</v>
      </c>
      <c r="BM297" s="190" t="s">
        <v>290</v>
      </c>
      <c r="BN297" s="81" t="s">
        <v>64</v>
      </c>
    </row>
    <row r="298" spans="1:66" s="112" customFormat="1" ht="25.5">
      <c r="A298" s="84">
        <f t="shared" si="120"/>
        <v>213</v>
      </c>
      <c r="B298" s="85" t="s">
        <v>441</v>
      </c>
      <c r="C298" s="86" t="s">
        <v>442</v>
      </c>
      <c r="D298" s="85" t="s">
        <v>64</v>
      </c>
      <c r="E298" s="87" t="s">
        <v>98</v>
      </c>
      <c r="F298" s="89"/>
      <c r="G298" s="89"/>
      <c r="H298" s="90">
        <v>43497</v>
      </c>
      <c r="I298" s="90">
        <v>43497</v>
      </c>
      <c r="J298" s="91">
        <v>100000000</v>
      </c>
      <c r="K298" s="92">
        <v>7.7499999999999999E-2</v>
      </c>
      <c r="L298" s="63">
        <v>7.4999999999999997E-2</v>
      </c>
      <c r="M298" s="93">
        <v>0.9</v>
      </c>
      <c r="N298" s="94">
        <v>10</v>
      </c>
      <c r="O298" s="94"/>
      <c r="P298" s="93">
        <v>12</v>
      </c>
      <c r="Q298" s="95">
        <f t="shared" si="144"/>
        <v>5812500</v>
      </c>
      <c r="R298" s="94">
        <f t="shared" si="125"/>
        <v>60665606.589831896</v>
      </c>
      <c r="S298" s="95">
        <f t="shared" si="145"/>
        <v>3526188.3830339783</v>
      </c>
      <c r="T298" s="95">
        <f t="shared" si="126"/>
        <v>2286311.6169660217</v>
      </c>
      <c r="U298" s="96">
        <v>0.606656065898319</v>
      </c>
      <c r="V298" s="94"/>
      <c r="W298" s="97"/>
      <c r="X298" s="95">
        <f t="shared" si="123"/>
        <v>60665606.589831896</v>
      </c>
      <c r="Y298" s="95">
        <f t="shared" si="123"/>
        <v>3526188.3830339783</v>
      </c>
      <c r="Z298" s="98">
        <f t="shared" si="124"/>
        <v>60665606.589831896</v>
      </c>
      <c r="AA298" s="98">
        <f t="shared" si="124"/>
        <v>3526188.3830339783</v>
      </c>
      <c r="AB298" s="98">
        <f>5331575.34-AB300-218602.19</f>
        <v>3526188.38</v>
      </c>
      <c r="AC298" s="98"/>
      <c r="AD298" s="98">
        <f>AA298-AB298-AC298</f>
        <v>3.0339783988893032E-3</v>
      </c>
      <c r="AE298" s="100">
        <v>115559405.14034846</v>
      </c>
      <c r="AF298" s="100">
        <f t="shared" si="146"/>
        <v>5.7997197589281776E-2</v>
      </c>
      <c r="AG298" s="100"/>
      <c r="AH298" s="101"/>
      <c r="AI298" s="101"/>
      <c r="AJ298" s="101"/>
      <c r="AK298" s="101"/>
      <c r="AL298" s="101"/>
      <c r="AM298" s="104">
        <f t="shared" si="121"/>
        <v>3.0339783988893032E-3</v>
      </c>
      <c r="AN298" s="104"/>
      <c r="AO298" s="104"/>
      <c r="AP298" s="104"/>
      <c r="AQ298" s="104">
        <f t="shared" si="119"/>
        <v>3.0339783988893032E-3</v>
      </c>
      <c r="AR298" s="104"/>
      <c r="AS298" s="104">
        <f t="shared" si="127"/>
        <v>3.0339783988893032E-3</v>
      </c>
      <c r="AT298" s="104">
        <f t="shared" si="128"/>
        <v>0</v>
      </c>
      <c r="AU298" s="181">
        <f t="shared" si="147"/>
        <v>6.5246847287942E-2</v>
      </c>
      <c r="AV298" s="106"/>
      <c r="AW298" s="106"/>
      <c r="AX298" s="107"/>
      <c r="AY298" s="107"/>
      <c r="AZ298" s="107"/>
      <c r="BA298" s="107"/>
      <c r="BB298" s="108">
        <f t="shared" si="122"/>
        <v>6.5246847287942E-2</v>
      </c>
      <c r="BC298" s="108">
        <f t="shared" si="148"/>
        <v>7.4567825471933719E-2</v>
      </c>
      <c r="BD298" s="109"/>
      <c r="BE298" s="109"/>
      <c r="BF298" s="109"/>
      <c r="BG298" s="110">
        <f t="shared" si="149"/>
        <v>8.6995796383922672E-2</v>
      </c>
      <c r="BH298" s="110"/>
      <c r="BI298" s="110">
        <f t="shared" si="129"/>
        <v>3.0339783988893032E-3</v>
      </c>
      <c r="BJ298" s="116">
        <f t="shared" si="130"/>
        <v>0.13484348439508015</v>
      </c>
      <c r="BK298" s="116"/>
      <c r="BL298" s="79"/>
      <c r="BM298" s="111"/>
    </row>
    <row r="299" spans="1:66" s="112" customFormat="1" ht="25.5">
      <c r="A299" s="84">
        <f t="shared" si="120"/>
        <v>214</v>
      </c>
      <c r="B299" s="85" t="s">
        <v>441</v>
      </c>
      <c r="C299" s="86" t="s">
        <v>442</v>
      </c>
      <c r="D299" s="85" t="s">
        <v>111</v>
      </c>
      <c r="E299" s="87" t="s">
        <v>98</v>
      </c>
      <c r="F299" s="89"/>
      <c r="G299" s="89"/>
      <c r="H299" s="90">
        <v>43497</v>
      </c>
      <c r="I299" s="90">
        <v>43497</v>
      </c>
      <c r="J299" s="91">
        <v>100000000</v>
      </c>
      <c r="K299" s="92">
        <v>7.7499999999999999E-2</v>
      </c>
      <c r="L299" s="63">
        <v>7.4999999999999997E-2</v>
      </c>
      <c r="M299" s="93">
        <v>0.9</v>
      </c>
      <c r="N299" s="94">
        <v>10</v>
      </c>
      <c r="O299" s="94"/>
      <c r="P299" s="93">
        <v>12</v>
      </c>
      <c r="Q299" s="95">
        <f t="shared" si="144"/>
        <v>5812500</v>
      </c>
      <c r="R299" s="94">
        <f t="shared" si="125"/>
        <v>60665606.589831896</v>
      </c>
      <c r="S299" s="95">
        <f t="shared" si="145"/>
        <v>3526188.3830339783</v>
      </c>
      <c r="T299" s="95">
        <f t="shared" si="126"/>
        <v>2286311.6169660217</v>
      </c>
      <c r="U299" s="96">
        <v>0.606656065898319</v>
      </c>
      <c r="V299" s="317">
        <v>100000000</v>
      </c>
      <c r="W299" s="318">
        <f>5812500-W302+534639.09</f>
        <v>3526188.38</v>
      </c>
      <c r="X299" s="95">
        <f t="shared" si="123"/>
        <v>-39334393.410168104</v>
      </c>
      <c r="Y299" s="95">
        <f t="shared" si="123"/>
        <v>3.0339783988893032E-3</v>
      </c>
      <c r="Z299" s="98">
        <f>SUM(X299)</f>
        <v>-39334393.410168104</v>
      </c>
      <c r="AA299" s="98">
        <f t="shared" si="124"/>
        <v>3.0339783988893032E-3</v>
      </c>
      <c r="AB299" s="98"/>
      <c r="AC299" s="98"/>
      <c r="AD299" s="98">
        <f t="shared" si="131"/>
        <v>3.0339783988893032E-3</v>
      </c>
      <c r="AE299" s="100">
        <v>0</v>
      </c>
      <c r="AF299" s="100">
        <f t="shared" si="146"/>
        <v>5.7997197589281776E-2</v>
      </c>
      <c r="AG299" s="100"/>
      <c r="AH299" s="101"/>
      <c r="AI299" s="101"/>
      <c r="AJ299" s="101"/>
      <c r="AK299" s="101"/>
      <c r="AL299" s="101"/>
      <c r="AM299" s="104">
        <f t="shared" si="121"/>
        <v>3.0339783988893032E-3</v>
      </c>
      <c r="AN299" s="104"/>
      <c r="AO299" s="104"/>
      <c r="AP299" s="104"/>
      <c r="AQ299" s="104">
        <f t="shared" si="119"/>
        <v>3.0339783988893032E-3</v>
      </c>
      <c r="AR299" s="104"/>
      <c r="AS299" s="104">
        <f t="shared" si="127"/>
        <v>3.0339783988893032E-3</v>
      </c>
      <c r="AT299" s="104">
        <f t="shared" si="128"/>
        <v>0</v>
      </c>
      <c r="AU299" s="181">
        <f t="shared" si="147"/>
        <v>6.5246847287942E-2</v>
      </c>
      <c r="AV299" s="106"/>
      <c r="AW299" s="106"/>
      <c r="AX299" s="107"/>
      <c r="AY299" s="107"/>
      <c r="AZ299" s="107"/>
      <c r="BA299" s="107"/>
      <c r="BB299" s="108">
        <f t="shared" si="122"/>
        <v>6.5246847287942E-2</v>
      </c>
      <c r="BC299" s="108">
        <f t="shared" si="148"/>
        <v>7.4567825471933719E-2</v>
      </c>
      <c r="BD299" s="109"/>
      <c r="BE299" s="109"/>
      <c r="BF299" s="109"/>
      <c r="BG299" s="110">
        <f t="shared" si="149"/>
        <v>8.6995796383922672E-2</v>
      </c>
      <c r="BH299" s="110"/>
      <c r="BI299" s="110">
        <f t="shared" si="129"/>
        <v>3.0339783988893032E-3</v>
      </c>
      <c r="BJ299" s="116">
        <f t="shared" si="130"/>
        <v>0.13484348439508015</v>
      </c>
      <c r="BK299" s="116"/>
      <c r="BL299" s="79"/>
      <c r="BM299" s="111"/>
    </row>
    <row r="300" spans="1:66" s="112" customFormat="1" ht="25.5">
      <c r="A300" s="84">
        <f t="shared" si="120"/>
        <v>215</v>
      </c>
      <c r="B300" s="85" t="s">
        <v>441</v>
      </c>
      <c r="C300" s="86" t="s">
        <v>442</v>
      </c>
      <c r="D300" s="85" t="s">
        <v>64</v>
      </c>
      <c r="E300" s="87" t="s">
        <v>98</v>
      </c>
      <c r="F300" s="89"/>
      <c r="G300" s="89"/>
      <c r="H300" s="90">
        <v>43525</v>
      </c>
      <c r="I300" s="90">
        <v>43525</v>
      </c>
      <c r="J300" s="91">
        <v>50000000</v>
      </c>
      <c r="K300" s="92">
        <v>7.7499999999999999E-2</v>
      </c>
      <c r="L300" s="63">
        <v>7.4999999999999997E-2</v>
      </c>
      <c r="M300" s="93">
        <v>0.9</v>
      </c>
      <c r="N300" s="94">
        <v>9</v>
      </c>
      <c r="O300" s="94"/>
      <c r="P300" s="93">
        <v>12</v>
      </c>
      <c r="Q300" s="95">
        <f t="shared" si="144"/>
        <v>2615625</v>
      </c>
      <c r="R300" s="94">
        <f t="shared" si="125"/>
        <v>30332803.294915948</v>
      </c>
      <c r="S300" s="95">
        <f t="shared" si="145"/>
        <v>1586784.7723652904</v>
      </c>
      <c r="T300" s="95">
        <f t="shared" si="126"/>
        <v>1028840.2276347096</v>
      </c>
      <c r="U300" s="96">
        <v>0.606656065898319</v>
      </c>
      <c r="V300" s="94"/>
      <c r="W300" s="97"/>
      <c r="X300" s="95">
        <f t="shared" si="123"/>
        <v>30332803.294915948</v>
      </c>
      <c r="Y300" s="95">
        <f>S300-W300</f>
        <v>1586784.7723652904</v>
      </c>
      <c r="Z300" s="98">
        <f t="shared" si="124"/>
        <v>30332803.294915948</v>
      </c>
      <c r="AA300" s="98">
        <f>SUM(Y300)</f>
        <v>1586784.7723652904</v>
      </c>
      <c r="AB300" s="98">
        <v>1586784.77</v>
      </c>
      <c r="AC300" s="98"/>
      <c r="AD300" s="98">
        <f t="shared" si="131"/>
        <v>2.3652904201298952E-3</v>
      </c>
      <c r="AE300" s="100">
        <v>0</v>
      </c>
      <c r="AF300" s="100">
        <f t="shared" si="146"/>
        <v>4.5214631687070878E-2</v>
      </c>
      <c r="AG300" s="100"/>
      <c r="AH300" s="101"/>
      <c r="AI300" s="101"/>
      <c r="AJ300" s="101"/>
      <c r="AK300" s="101"/>
      <c r="AL300" s="101"/>
      <c r="AM300" s="104">
        <f t="shared" si="121"/>
        <v>2.3652904201298952E-3</v>
      </c>
      <c r="AN300" s="104"/>
      <c r="AO300" s="104"/>
      <c r="AP300" s="104"/>
      <c r="AQ300" s="104">
        <f t="shared" si="119"/>
        <v>2.3652904201298952E-3</v>
      </c>
      <c r="AR300" s="104"/>
      <c r="AS300" s="104">
        <f t="shared" si="127"/>
        <v>2.3652904201298952E-3</v>
      </c>
      <c r="AT300" s="104">
        <f t="shared" si="128"/>
        <v>0</v>
      </c>
      <c r="AU300" s="181">
        <f t="shared" si="147"/>
        <v>5.0866460647954734E-2</v>
      </c>
      <c r="AV300" s="106"/>
      <c r="AW300" s="106"/>
      <c r="AX300" s="107"/>
      <c r="AY300" s="107"/>
      <c r="AZ300" s="107"/>
      <c r="BA300" s="107"/>
      <c r="BB300" s="108">
        <f t="shared" si="122"/>
        <v>5.0866460647954734E-2</v>
      </c>
      <c r="BC300" s="108">
        <f t="shared" si="148"/>
        <v>5.8133097883376846E-2</v>
      </c>
      <c r="BD300" s="109"/>
      <c r="BE300" s="109"/>
      <c r="BF300" s="109"/>
      <c r="BG300" s="110">
        <f t="shared" si="149"/>
        <v>6.7821947530606316E-2</v>
      </c>
      <c r="BH300" s="110"/>
      <c r="BI300" s="110">
        <f t="shared" si="129"/>
        <v>2.3652904201298952E-3</v>
      </c>
      <c r="BJ300" s="116">
        <f t="shared" si="130"/>
        <v>0.10512401867243981</v>
      </c>
      <c r="BK300" s="116"/>
      <c r="BL300" s="79"/>
      <c r="BM300" s="111"/>
    </row>
    <row r="301" spans="1:66" s="112" customFormat="1" ht="25.5">
      <c r="A301" s="84">
        <f t="shared" si="120"/>
        <v>216</v>
      </c>
      <c r="B301" s="85" t="s">
        <v>441</v>
      </c>
      <c r="C301" s="86" t="s">
        <v>442</v>
      </c>
      <c r="D301" s="85" t="s">
        <v>111</v>
      </c>
      <c r="E301" s="87" t="s">
        <v>98</v>
      </c>
      <c r="F301" s="89"/>
      <c r="G301" s="89"/>
      <c r="H301" s="90">
        <v>43525</v>
      </c>
      <c r="I301" s="90">
        <v>43525</v>
      </c>
      <c r="J301" s="91">
        <v>100000000</v>
      </c>
      <c r="K301" s="92">
        <v>7.7499999999999999E-2</v>
      </c>
      <c r="L301" s="63">
        <v>7.4999999999999997E-2</v>
      </c>
      <c r="M301" s="93">
        <v>0.9</v>
      </c>
      <c r="N301" s="94">
        <v>9</v>
      </c>
      <c r="O301" s="94"/>
      <c r="P301" s="93">
        <v>12</v>
      </c>
      <c r="Q301" s="95">
        <f t="shared" si="144"/>
        <v>5231250</v>
      </c>
      <c r="R301" s="94">
        <f t="shared" si="125"/>
        <v>60665606.589831896</v>
      </c>
      <c r="S301" s="95">
        <f t="shared" si="145"/>
        <v>3173569.5447305809</v>
      </c>
      <c r="T301" s="95">
        <f t="shared" si="126"/>
        <v>2057680.4552694191</v>
      </c>
      <c r="U301" s="96">
        <v>0.606656065898319</v>
      </c>
      <c r="V301" s="317">
        <v>100000000</v>
      </c>
      <c r="W301" s="318">
        <f>5812500-534639.09-W303-W304</f>
        <v>3173569.54</v>
      </c>
      <c r="X301" s="95">
        <f t="shared" si="123"/>
        <v>-39334393.410168104</v>
      </c>
      <c r="Y301" s="95">
        <f t="shared" si="123"/>
        <v>4.7305808402597904E-3</v>
      </c>
      <c r="Z301" s="98">
        <f t="shared" si="124"/>
        <v>-39334393.410168104</v>
      </c>
      <c r="AA301" s="98">
        <f t="shared" si="124"/>
        <v>4.7305808402597904E-3</v>
      </c>
      <c r="AB301" s="98"/>
      <c r="AC301" s="98"/>
      <c r="AD301" s="98">
        <f t="shared" si="131"/>
        <v>4.7305808402597904E-3</v>
      </c>
      <c r="AE301" s="100">
        <v>0</v>
      </c>
      <c r="AF301" s="100">
        <f t="shared" si="146"/>
        <v>9.0429263374141755E-2</v>
      </c>
      <c r="AG301" s="100"/>
      <c r="AH301" s="101"/>
      <c r="AI301" s="101"/>
      <c r="AJ301" s="101"/>
      <c r="AK301" s="101"/>
      <c r="AL301" s="101"/>
      <c r="AM301" s="104">
        <f t="shared" si="121"/>
        <v>4.7305808402597904E-3</v>
      </c>
      <c r="AN301" s="104"/>
      <c r="AO301" s="104"/>
      <c r="AP301" s="104"/>
      <c r="AQ301" s="104">
        <f t="shared" si="119"/>
        <v>4.7305808402597904E-3</v>
      </c>
      <c r="AR301" s="104"/>
      <c r="AS301" s="104">
        <f t="shared" si="127"/>
        <v>4.7305808402597904E-3</v>
      </c>
      <c r="AT301" s="104">
        <f t="shared" si="128"/>
        <v>0</v>
      </c>
      <c r="AU301" s="181">
        <f t="shared" si="147"/>
        <v>0.10173292129590947</v>
      </c>
      <c r="AV301" s="106"/>
      <c r="AW301" s="106"/>
      <c r="AX301" s="107"/>
      <c r="AY301" s="107"/>
      <c r="AZ301" s="107"/>
      <c r="BA301" s="107"/>
      <c r="BB301" s="108">
        <f t="shared" si="122"/>
        <v>0.10173292129590947</v>
      </c>
      <c r="BC301" s="108">
        <f t="shared" si="148"/>
        <v>0.11626619576675369</v>
      </c>
      <c r="BD301" s="109"/>
      <c r="BE301" s="109"/>
      <c r="BF301" s="109"/>
      <c r="BG301" s="110">
        <f t="shared" si="149"/>
        <v>0.13564389506121263</v>
      </c>
      <c r="BH301" s="110"/>
      <c r="BI301" s="110">
        <f t="shared" si="129"/>
        <v>4.7305808402597904E-3</v>
      </c>
      <c r="BJ301" s="116">
        <f t="shared" si="130"/>
        <v>0.21024803734487962</v>
      </c>
      <c r="BK301" s="116"/>
      <c r="BL301" s="79"/>
      <c r="BM301" s="111"/>
    </row>
    <row r="302" spans="1:66" s="112" customFormat="1" ht="25.5">
      <c r="A302" s="84">
        <f t="shared" si="120"/>
        <v>217</v>
      </c>
      <c r="B302" s="85" t="s">
        <v>441</v>
      </c>
      <c r="C302" s="86" t="s">
        <v>442</v>
      </c>
      <c r="D302" s="85" t="s">
        <v>111</v>
      </c>
      <c r="E302" s="87" t="s">
        <v>98</v>
      </c>
      <c r="F302" s="89"/>
      <c r="G302" s="89"/>
      <c r="H302" s="90">
        <v>43556</v>
      </c>
      <c r="I302" s="90">
        <v>43556</v>
      </c>
      <c r="J302" s="91">
        <v>100000000</v>
      </c>
      <c r="K302" s="92">
        <v>7.7499999999999999E-2</v>
      </c>
      <c r="L302" s="63">
        <v>7.4999999999999997E-2</v>
      </c>
      <c r="M302" s="93">
        <v>0.9</v>
      </c>
      <c r="N302" s="94">
        <v>8</v>
      </c>
      <c r="O302" s="94"/>
      <c r="P302" s="93">
        <v>12</v>
      </c>
      <c r="Q302" s="95">
        <f t="shared" si="144"/>
        <v>4650000</v>
      </c>
      <c r="R302" s="94">
        <f t="shared" si="125"/>
        <v>60665606.589831896</v>
      </c>
      <c r="S302" s="95">
        <f t="shared" si="145"/>
        <v>2820950.706427183</v>
      </c>
      <c r="T302" s="95">
        <f t="shared" si="126"/>
        <v>1829049.293572817</v>
      </c>
      <c r="U302" s="96">
        <v>0.606656065898319</v>
      </c>
      <c r="V302" s="94"/>
      <c r="W302" s="349">
        <v>2820950.71</v>
      </c>
      <c r="X302" s="95">
        <f t="shared" si="123"/>
        <v>60665606.589831896</v>
      </c>
      <c r="Y302" s="95">
        <f t="shared" si="123"/>
        <v>-3.5728169605135918E-3</v>
      </c>
      <c r="Z302" s="98">
        <f t="shared" si="124"/>
        <v>60665606.589831896</v>
      </c>
      <c r="AA302" s="98">
        <f t="shared" si="124"/>
        <v>-3.5728169605135918E-3</v>
      </c>
      <c r="AB302" s="98"/>
      <c r="AC302" s="98"/>
      <c r="AD302" s="98">
        <f t="shared" si="131"/>
        <v>-3.5728169605135918E-3</v>
      </c>
      <c r="AE302" s="100">
        <v>0</v>
      </c>
      <c r="AF302" s="100">
        <f t="shared" si="146"/>
        <v>-6.8297576306114063E-2</v>
      </c>
      <c r="AG302" s="100"/>
      <c r="AH302" s="101"/>
      <c r="AI302" s="101"/>
      <c r="AJ302" s="101"/>
      <c r="AK302" s="101"/>
      <c r="AL302" s="101"/>
      <c r="AM302" s="104">
        <f t="shared" si="121"/>
        <v>-3.5728169605135918E-3</v>
      </c>
      <c r="AN302" s="104"/>
      <c r="AO302" s="104"/>
      <c r="AP302" s="104"/>
      <c r="AQ302" s="104">
        <f t="shared" si="119"/>
        <v>-3.5728169605135918E-3</v>
      </c>
      <c r="AR302" s="104"/>
      <c r="AS302" s="104">
        <f t="shared" si="127"/>
        <v>-3.5728169605135918E-3</v>
      </c>
      <c r="AT302" s="104">
        <f t="shared" si="128"/>
        <v>0</v>
      </c>
      <c r="AU302" s="105">
        <f t="shared" si="147"/>
        <v>-7.6834773344378313E-2</v>
      </c>
      <c r="AV302" s="106"/>
      <c r="AW302" s="106"/>
      <c r="AX302" s="107"/>
      <c r="AY302" s="107"/>
      <c r="AZ302" s="107"/>
      <c r="BA302" s="107"/>
      <c r="BB302" s="108">
        <f t="shared" si="122"/>
        <v>-7.6834773344378313E-2</v>
      </c>
      <c r="BC302" s="108">
        <f t="shared" si="148"/>
        <v>-8.7811169536432365E-2</v>
      </c>
      <c r="BD302" s="109"/>
      <c r="BE302" s="109"/>
      <c r="BF302" s="109"/>
      <c r="BG302" s="110">
        <f t="shared" si="149"/>
        <v>-0.1024463644591711</v>
      </c>
      <c r="BH302" s="110"/>
      <c r="BI302" s="110">
        <f t="shared" si="129"/>
        <v>-3.5728169605135918E-3</v>
      </c>
      <c r="BJ302" s="116">
        <f t="shared" si="130"/>
        <v>-0.15879186491171521</v>
      </c>
      <c r="BK302" s="116"/>
      <c r="BL302" s="79"/>
      <c r="BM302" s="111"/>
    </row>
    <row r="303" spans="1:66" s="112" customFormat="1" ht="25.5">
      <c r="A303" s="84">
        <f t="shared" si="120"/>
        <v>218</v>
      </c>
      <c r="B303" s="85" t="s">
        <v>441</v>
      </c>
      <c r="C303" s="86" t="s">
        <v>442</v>
      </c>
      <c r="D303" s="85" t="s">
        <v>111</v>
      </c>
      <c r="E303" s="87" t="s">
        <v>98</v>
      </c>
      <c r="F303" s="89"/>
      <c r="G303" s="89"/>
      <c r="H303" s="90">
        <v>43556</v>
      </c>
      <c r="I303" s="90">
        <v>43556</v>
      </c>
      <c r="J303" s="91">
        <v>50000000</v>
      </c>
      <c r="K303" s="92">
        <v>7.7499999999999999E-2</v>
      </c>
      <c r="L303" s="63">
        <v>7.4999999999999997E-2</v>
      </c>
      <c r="M303" s="93">
        <v>0.9</v>
      </c>
      <c r="N303" s="94">
        <v>8</v>
      </c>
      <c r="O303" s="94"/>
      <c r="P303" s="93">
        <v>12</v>
      </c>
      <c r="Q303" s="95">
        <f t="shared" si="144"/>
        <v>2325000</v>
      </c>
      <c r="R303" s="94">
        <f t="shared" si="125"/>
        <v>30332803.294915948</v>
      </c>
      <c r="S303" s="95">
        <f t="shared" si="145"/>
        <v>1410475.3532135915</v>
      </c>
      <c r="T303" s="95">
        <f t="shared" si="126"/>
        <v>914524.6467864085</v>
      </c>
      <c r="U303" s="96">
        <v>0.606656065898319</v>
      </c>
      <c r="V303" s="94"/>
      <c r="W303" s="349">
        <v>1410475.35</v>
      </c>
      <c r="X303" s="95">
        <f t="shared" si="123"/>
        <v>30332803.294915948</v>
      </c>
      <c r="Y303" s="95">
        <f t="shared" si="123"/>
        <v>3.2135914079844952E-3</v>
      </c>
      <c r="Z303" s="98">
        <f t="shared" si="124"/>
        <v>30332803.294915948</v>
      </c>
      <c r="AA303" s="98">
        <f t="shared" si="124"/>
        <v>3.2135914079844952E-3</v>
      </c>
      <c r="AB303" s="98"/>
      <c r="AC303" s="98"/>
      <c r="AD303" s="98">
        <f t="shared" si="131"/>
        <v>3.2135914079844952E-3</v>
      </c>
      <c r="AE303" s="100">
        <v>0</v>
      </c>
      <c r="AF303" s="100">
        <f t="shared" si="146"/>
        <v>6.1430660128735867E-2</v>
      </c>
      <c r="AG303" s="100"/>
      <c r="AH303" s="101"/>
      <c r="AI303" s="101"/>
      <c r="AJ303" s="101"/>
      <c r="AK303" s="101"/>
      <c r="AL303" s="101"/>
      <c r="AM303" s="104">
        <f t="shared" si="121"/>
        <v>3.2135914079844952E-3</v>
      </c>
      <c r="AN303" s="104"/>
      <c r="AO303" s="104"/>
      <c r="AP303" s="104"/>
      <c r="AQ303" s="104">
        <f t="shared" si="119"/>
        <v>3.2135914079844952E-3</v>
      </c>
      <c r="AR303" s="104"/>
      <c r="AS303" s="104">
        <f t="shared" si="127"/>
        <v>3.2135914079844952E-3</v>
      </c>
      <c r="AT303" s="104">
        <f t="shared" si="128"/>
        <v>0</v>
      </c>
      <c r="AU303" s="181">
        <f t="shared" si="147"/>
        <v>6.9109492644827852E-2</v>
      </c>
      <c r="AV303" s="106"/>
      <c r="AW303" s="106"/>
      <c r="AX303" s="107"/>
      <c r="AY303" s="107"/>
      <c r="AZ303" s="107"/>
      <c r="BA303" s="107"/>
      <c r="BB303" s="108">
        <f t="shared" si="122"/>
        <v>6.9109492644827852E-2</v>
      </c>
      <c r="BC303" s="108">
        <f t="shared" si="148"/>
        <v>7.8982277308374677E-2</v>
      </c>
      <c r="BD303" s="109"/>
      <c r="BE303" s="109"/>
      <c r="BF303" s="109"/>
      <c r="BG303" s="110">
        <f t="shared" si="149"/>
        <v>9.2145990193103794E-2</v>
      </c>
      <c r="BH303" s="110"/>
      <c r="BI303" s="110">
        <f t="shared" si="129"/>
        <v>3.2135914079844952E-3</v>
      </c>
      <c r="BJ303" s="116">
        <f t="shared" si="130"/>
        <v>0.14282628479931092</v>
      </c>
      <c r="BK303" s="116"/>
      <c r="BL303" s="79"/>
      <c r="BM303" s="111"/>
    </row>
    <row r="304" spans="1:66" s="185" customFormat="1" ht="25.5">
      <c r="A304" s="171">
        <f t="shared" si="120"/>
        <v>219</v>
      </c>
      <c r="B304" s="87" t="s">
        <v>441</v>
      </c>
      <c r="C304" s="172" t="s">
        <v>442</v>
      </c>
      <c r="D304" s="87" t="s">
        <v>111</v>
      </c>
      <c r="E304" s="87" t="s">
        <v>98</v>
      </c>
      <c r="F304" s="87"/>
      <c r="G304" s="87"/>
      <c r="H304" s="174">
        <v>43586</v>
      </c>
      <c r="I304" s="174" t="s">
        <v>375</v>
      </c>
      <c r="J304" s="175">
        <v>100000000</v>
      </c>
      <c r="K304" s="121">
        <v>7.7499999999999999E-2</v>
      </c>
      <c r="L304" s="63">
        <v>7.4999999999999997E-2</v>
      </c>
      <c r="M304" s="176">
        <v>0.9</v>
      </c>
      <c r="N304" s="177">
        <v>7</v>
      </c>
      <c r="O304" s="177"/>
      <c r="P304" s="176">
        <v>12</v>
      </c>
      <c r="Q304" s="177">
        <f t="shared" si="144"/>
        <v>4068750</v>
      </c>
      <c r="R304" s="177">
        <f t="shared" si="125"/>
        <v>60665606.589831896</v>
      </c>
      <c r="S304" s="177">
        <f t="shared" si="145"/>
        <v>2468331.8681237851</v>
      </c>
      <c r="T304" s="177">
        <f t="shared" si="126"/>
        <v>1600418.1318762149</v>
      </c>
      <c r="U304" s="178">
        <v>0.606656065898319</v>
      </c>
      <c r="V304" s="177"/>
      <c r="W304" s="350">
        <v>693816.02</v>
      </c>
      <c r="X304" s="177">
        <f t="shared" si="123"/>
        <v>60665606.589831896</v>
      </c>
      <c r="Y304" s="177">
        <f t="shared" si="123"/>
        <v>1774515.8481237851</v>
      </c>
      <c r="Z304" s="179">
        <f t="shared" si="124"/>
        <v>60665606.589831896</v>
      </c>
      <c r="AA304" s="179">
        <f t="shared" si="124"/>
        <v>1774515.8481237851</v>
      </c>
      <c r="AB304" s="179">
        <v>218602.19</v>
      </c>
      <c r="AC304" s="179"/>
      <c r="AD304" s="179">
        <f>AA304-AB304-AC304</f>
        <v>1555913.6581237852</v>
      </c>
      <c r="AE304" s="180">
        <v>0</v>
      </c>
      <c r="AF304" s="180">
        <f t="shared" si="146"/>
        <v>29742674.468316086</v>
      </c>
      <c r="AG304" s="180"/>
      <c r="AH304" s="104"/>
      <c r="AI304" s="104"/>
      <c r="AJ304" s="104">
        <v>1555913.66</v>
      </c>
      <c r="AK304" s="104"/>
      <c r="AL304" s="104"/>
      <c r="AM304" s="104">
        <f t="shared" si="121"/>
        <v>-1.8762147519737482E-3</v>
      </c>
      <c r="AN304" s="104"/>
      <c r="AO304" s="104"/>
      <c r="AP304" s="104"/>
      <c r="AQ304" s="104">
        <f t="shared" si="119"/>
        <v>-1.8762147519737482E-3</v>
      </c>
      <c r="AR304" s="104"/>
      <c r="AS304" s="104">
        <f t="shared" si="127"/>
        <v>-1.8762147519737482E-3</v>
      </c>
      <c r="AT304" s="104">
        <f t="shared" si="128"/>
        <v>0</v>
      </c>
      <c r="AU304" s="181">
        <f t="shared" si="147"/>
        <v>33460508.776855595</v>
      </c>
      <c r="AV304" s="181"/>
      <c r="AW304" s="181"/>
      <c r="AX304" s="182"/>
      <c r="AY304" s="181">
        <f>AJ304/7.75%/0.9/7*12</f>
        <v>38240581.505376339</v>
      </c>
      <c r="AZ304" s="181"/>
      <c r="BA304" s="181"/>
      <c r="BB304" s="108">
        <f t="shared" si="122"/>
        <v>-4780072.7285207435</v>
      </c>
      <c r="BC304" s="108">
        <f t="shared" si="148"/>
        <v>-4.6112804964024534E-2</v>
      </c>
      <c r="BD304" s="183"/>
      <c r="BE304" s="183"/>
      <c r="BF304" s="183"/>
      <c r="BG304" s="110">
        <f t="shared" si="149"/>
        <v>-5.3798272458028623E-2</v>
      </c>
      <c r="BH304" s="110"/>
      <c r="BI304" s="110">
        <f t="shared" si="129"/>
        <v>-1.8762147519737482E-3</v>
      </c>
      <c r="BJ304" s="116">
        <f t="shared" si="130"/>
        <v>-8.3387322309944362E-2</v>
      </c>
      <c r="BK304" s="116"/>
      <c r="BL304" s="79"/>
      <c r="BM304" s="184"/>
    </row>
    <row r="305" spans="1:67" s="185" customFormat="1" ht="25.5">
      <c r="A305" s="171">
        <f t="shared" si="120"/>
        <v>220</v>
      </c>
      <c r="B305" s="87" t="s">
        <v>441</v>
      </c>
      <c r="C305" s="172" t="s">
        <v>442</v>
      </c>
      <c r="D305" s="87" t="s">
        <v>111</v>
      </c>
      <c r="E305" s="87" t="s">
        <v>98</v>
      </c>
      <c r="F305" s="87"/>
      <c r="G305" s="87"/>
      <c r="H305" s="174">
        <v>43647</v>
      </c>
      <c r="I305" s="174">
        <v>43647</v>
      </c>
      <c r="J305" s="175">
        <v>100000000</v>
      </c>
      <c r="K305" s="121">
        <v>7.7499999999999999E-2</v>
      </c>
      <c r="L305" s="121">
        <v>7.4999999999999997E-2</v>
      </c>
      <c r="M305" s="176">
        <v>0.9</v>
      </c>
      <c r="N305" s="177">
        <v>5</v>
      </c>
      <c r="O305" s="177"/>
      <c r="P305" s="176">
        <v>12</v>
      </c>
      <c r="Q305" s="177">
        <f t="shared" si="144"/>
        <v>2906250</v>
      </c>
      <c r="R305" s="177">
        <f t="shared" si="125"/>
        <v>60665606.589831896</v>
      </c>
      <c r="S305" s="177">
        <f t="shared" si="145"/>
        <v>1763094.1915169891</v>
      </c>
      <c r="T305" s="177">
        <f t="shared" si="126"/>
        <v>1143155.8084830109</v>
      </c>
      <c r="U305" s="178">
        <v>0.606656065898319</v>
      </c>
      <c r="V305" s="177"/>
      <c r="W305" s="176"/>
      <c r="X305" s="177">
        <f t="shared" si="123"/>
        <v>60665606.589831896</v>
      </c>
      <c r="Y305" s="177">
        <f t="shared" si="123"/>
        <v>1763094.1915169891</v>
      </c>
      <c r="Z305" s="179">
        <f t="shared" si="124"/>
        <v>60665606.589831896</v>
      </c>
      <c r="AA305" s="179">
        <f t="shared" si="124"/>
        <v>1763094.1915169891</v>
      </c>
      <c r="AB305" s="179"/>
      <c r="AC305" s="179"/>
      <c r="AD305" s="179">
        <f>AU305*7.75/100*0.9*8/12</f>
        <v>2820950.7064350005</v>
      </c>
      <c r="AE305" s="180"/>
      <c r="AF305" s="180">
        <f t="shared" si="146"/>
        <v>53924983.635555558</v>
      </c>
      <c r="AG305" s="180"/>
      <c r="AH305" s="104"/>
      <c r="AI305" s="104"/>
      <c r="AJ305" s="104">
        <f>4068750-1555913.66</f>
        <v>2512836.34</v>
      </c>
      <c r="AK305" s="104"/>
      <c r="AL305" s="104"/>
      <c r="AM305" s="214">
        <f t="shared" si="121"/>
        <v>308114.36643500067</v>
      </c>
      <c r="AN305" s="214"/>
      <c r="AO305" s="214"/>
      <c r="AP305" s="214"/>
      <c r="AQ305" s="104">
        <v>0</v>
      </c>
      <c r="AR305" s="104"/>
      <c r="AS305" s="104">
        <f t="shared" si="127"/>
        <v>0</v>
      </c>
      <c r="AT305" s="104">
        <f t="shared" si="128"/>
        <v>0</v>
      </c>
      <c r="AU305" s="181">
        <v>60665606.590000004</v>
      </c>
      <c r="AV305" s="181"/>
      <c r="AW305" s="181"/>
      <c r="AX305" s="182"/>
      <c r="AY305" s="181">
        <f>AJ305/7.75%/0.9/7*12</f>
        <v>61759418.494623646</v>
      </c>
      <c r="AZ305" s="181"/>
      <c r="BA305" s="181"/>
      <c r="BB305" s="108">
        <f t="shared" si="122"/>
        <v>-1093811.9046236426</v>
      </c>
      <c r="BC305" s="108">
        <f t="shared" si="148"/>
        <v>7572703.3225192167</v>
      </c>
      <c r="BD305" s="183"/>
      <c r="BE305" s="183"/>
      <c r="BF305" s="183"/>
      <c r="BG305" s="110">
        <f t="shared" si="149"/>
        <v>0</v>
      </c>
      <c r="BH305" s="110"/>
      <c r="BI305" s="110">
        <f t="shared" si="129"/>
        <v>0</v>
      </c>
      <c r="BJ305" s="116">
        <f t="shared" si="130"/>
        <v>0</v>
      </c>
      <c r="BK305" s="116"/>
      <c r="BL305" s="79"/>
      <c r="BM305" s="184"/>
    </row>
    <row r="306" spans="1:67" s="185" customFormat="1" ht="25.5">
      <c r="A306" s="171">
        <f t="shared" si="120"/>
        <v>221</v>
      </c>
      <c r="B306" s="87" t="s">
        <v>441</v>
      </c>
      <c r="C306" s="172" t="s">
        <v>442</v>
      </c>
      <c r="D306" s="87" t="s">
        <v>111</v>
      </c>
      <c r="E306" s="87" t="s">
        <v>98</v>
      </c>
      <c r="F306" s="87"/>
      <c r="G306" s="87"/>
      <c r="H306" s="174">
        <v>43678</v>
      </c>
      <c r="I306" s="174">
        <v>43678</v>
      </c>
      <c r="J306" s="175">
        <v>100000000</v>
      </c>
      <c r="K306" s="121">
        <v>7.7499999999999999E-2</v>
      </c>
      <c r="L306" s="121">
        <v>7.4999999999999997E-2</v>
      </c>
      <c r="M306" s="176">
        <v>0.9</v>
      </c>
      <c r="N306" s="177">
        <v>4</v>
      </c>
      <c r="O306" s="177"/>
      <c r="P306" s="176">
        <v>12</v>
      </c>
      <c r="Q306" s="177">
        <f t="shared" si="144"/>
        <v>2325000</v>
      </c>
      <c r="R306" s="177">
        <f t="shared" si="125"/>
        <v>60665606.589831896</v>
      </c>
      <c r="S306" s="177">
        <f t="shared" si="145"/>
        <v>1410475.3532135915</v>
      </c>
      <c r="T306" s="177">
        <f t="shared" si="126"/>
        <v>914524.6467864085</v>
      </c>
      <c r="U306" s="178">
        <v>0.606656065898319</v>
      </c>
      <c r="V306" s="177"/>
      <c r="W306" s="176"/>
      <c r="X306" s="177">
        <f t="shared" si="123"/>
        <v>60665606.589831896</v>
      </c>
      <c r="Y306" s="177">
        <f t="shared" si="123"/>
        <v>1410475.3532135915</v>
      </c>
      <c r="Z306" s="179">
        <f t="shared" si="124"/>
        <v>60665606.589831896</v>
      </c>
      <c r="AA306" s="179">
        <f t="shared" si="124"/>
        <v>1410475.3532135915</v>
      </c>
      <c r="AB306" s="179"/>
      <c r="AC306" s="179"/>
      <c r="AD306" s="179">
        <f>AU306*7.75/100*0.9*8/12</f>
        <v>273135.6354412146</v>
      </c>
      <c r="AE306" s="180"/>
      <c r="AF306" s="180">
        <f t="shared" si="146"/>
        <v>5221230.7850172445</v>
      </c>
      <c r="AG306" s="180"/>
      <c r="AH306" s="104"/>
      <c r="AI306" s="104"/>
      <c r="AJ306" s="104"/>
      <c r="AK306" s="104"/>
      <c r="AL306" s="104"/>
      <c r="AM306" s="214">
        <f t="shared" si="121"/>
        <v>273135.6354412146</v>
      </c>
      <c r="AN306" s="214"/>
      <c r="AO306" s="214"/>
      <c r="AP306" s="214"/>
      <c r="AQ306" s="104">
        <v>0</v>
      </c>
      <c r="AR306" s="104"/>
      <c r="AS306" s="104">
        <f t="shared" si="127"/>
        <v>0</v>
      </c>
      <c r="AT306" s="104">
        <f t="shared" si="128"/>
        <v>0</v>
      </c>
      <c r="AU306" s="181">
        <f>100000000-AU304-AU305</f>
        <v>5873884.633144401</v>
      </c>
      <c r="AV306" s="181"/>
      <c r="AW306" s="181"/>
      <c r="AX306" s="182"/>
      <c r="AY306" s="182"/>
      <c r="AZ306" s="182"/>
      <c r="BA306" s="182"/>
      <c r="BB306" s="108">
        <f t="shared" si="122"/>
        <v>5873884.633144401</v>
      </c>
      <c r="BC306" s="108">
        <f t="shared" si="148"/>
        <v>6713011.0093078855</v>
      </c>
      <c r="BD306" s="183"/>
      <c r="BE306" s="183"/>
      <c r="BF306" s="183"/>
      <c r="BG306" s="110">
        <f t="shared" si="149"/>
        <v>0</v>
      </c>
      <c r="BH306" s="110"/>
      <c r="BI306" s="110">
        <f t="shared" si="129"/>
        <v>0</v>
      </c>
      <c r="BJ306" s="116">
        <f t="shared" si="130"/>
        <v>0</v>
      </c>
      <c r="BK306" s="116"/>
      <c r="BL306" s="79"/>
      <c r="BM306" s="184"/>
    </row>
    <row r="307" spans="1:67" s="185" customFormat="1" ht="25.5">
      <c r="A307" s="171">
        <f t="shared" si="120"/>
        <v>222</v>
      </c>
      <c r="B307" s="87" t="s">
        <v>441</v>
      </c>
      <c r="C307" s="172" t="s">
        <v>442</v>
      </c>
      <c r="D307" s="87" t="s">
        <v>111</v>
      </c>
      <c r="E307" s="87" t="s">
        <v>98</v>
      </c>
      <c r="F307" s="87"/>
      <c r="G307" s="87"/>
      <c r="H307" s="174">
        <v>43709</v>
      </c>
      <c r="I307" s="174">
        <v>43709</v>
      </c>
      <c r="J307" s="175">
        <v>100000000</v>
      </c>
      <c r="K307" s="121">
        <v>7.7499999999999999E-2</v>
      </c>
      <c r="L307" s="121">
        <v>7.4999999999999997E-2</v>
      </c>
      <c r="M307" s="176">
        <v>0.9</v>
      </c>
      <c r="N307" s="177">
        <v>3</v>
      </c>
      <c r="O307" s="177"/>
      <c r="P307" s="176">
        <v>12</v>
      </c>
      <c r="Q307" s="177">
        <f t="shared" si="144"/>
        <v>1743750</v>
      </c>
      <c r="R307" s="177">
        <f t="shared" si="125"/>
        <v>60665606.589831896</v>
      </c>
      <c r="S307" s="177">
        <f t="shared" si="145"/>
        <v>1057856.5149101936</v>
      </c>
      <c r="T307" s="177">
        <f t="shared" si="126"/>
        <v>685893.48508980637</v>
      </c>
      <c r="U307" s="178">
        <v>0.606656065898319</v>
      </c>
      <c r="V307" s="177"/>
      <c r="W307" s="176"/>
      <c r="X307" s="177">
        <f t="shared" si="123"/>
        <v>60665606.589831896</v>
      </c>
      <c r="Y307" s="177">
        <f t="shared" si="123"/>
        <v>1057856.5149101936</v>
      </c>
      <c r="Z307" s="179">
        <f t="shared" si="124"/>
        <v>60665606.589831896</v>
      </c>
      <c r="AA307" s="179">
        <f t="shared" si="124"/>
        <v>1057856.5149101936</v>
      </c>
      <c r="AB307" s="179"/>
      <c r="AC307" s="179"/>
      <c r="AD307" s="179"/>
      <c r="AE307" s="180"/>
      <c r="AF307" s="180"/>
      <c r="AG307" s="180"/>
      <c r="AH307" s="104"/>
      <c r="AI307" s="104"/>
      <c r="AJ307" s="104"/>
      <c r="AK307" s="104"/>
      <c r="AL307" s="104"/>
      <c r="AM307" s="104">
        <f t="shared" si="121"/>
        <v>0</v>
      </c>
      <c r="AN307" s="104"/>
      <c r="AO307" s="104"/>
      <c r="AP307" s="104"/>
      <c r="AQ307" s="104">
        <f t="shared" si="119"/>
        <v>0</v>
      </c>
      <c r="AR307" s="104"/>
      <c r="AS307" s="104">
        <f t="shared" si="127"/>
        <v>0</v>
      </c>
      <c r="AT307" s="104">
        <f t="shared" si="128"/>
        <v>0</v>
      </c>
      <c r="AU307" s="181"/>
      <c r="AV307" s="181"/>
      <c r="AW307" s="181"/>
      <c r="AX307" s="182"/>
      <c r="AY307" s="182"/>
      <c r="AZ307" s="182"/>
      <c r="BA307" s="182"/>
      <c r="BB307" s="108">
        <f t="shared" si="122"/>
        <v>0</v>
      </c>
      <c r="BC307" s="108">
        <f t="shared" si="148"/>
        <v>0</v>
      </c>
      <c r="BD307" s="183"/>
      <c r="BE307" s="183"/>
      <c r="BF307" s="183"/>
      <c r="BG307" s="110">
        <f t="shared" si="149"/>
        <v>0</v>
      </c>
      <c r="BH307" s="110"/>
      <c r="BI307" s="110">
        <f t="shared" si="129"/>
        <v>0</v>
      </c>
      <c r="BJ307" s="116">
        <f t="shared" si="130"/>
        <v>0</v>
      </c>
      <c r="BK307" s="116"/>
      <c r="BL307" s="79"/>
      <c r="BM307" s="184"/>
    </row>
    <row r="308" spans="1:67" s="185" customFormat="1" ht="25.5">
      <c r="A308" s="171">
        <f t="shared" si="120"/>
        <v>223</v>
      </c>
      <c r="B308" s="87" t="s">
        <v>441</v>
      </c>
      <c r="C308" s="172" t="s">
        <v>442</v>
      </c>
      <c r="D308" s="87" t="s">
        <v>111</v>
      </c>
      <c r="E308" s="87" t="s">
        <v>98</v>
      </c>
      <c r="F308" s="87"/>
      <c r="G308" s="87"/>
      <c r="H308" s="174">
        <v>43709</v>
      </c>
      <c r="I308" s="174">
        <v>43709</v>
      </c>
      <c r="J308" s="175">
        <v>100000000</v>
      </c>
      <c r="K308" s="121">
        <v>7.7499999999999999E-2</v>
      </c>
      <c r="L308" s="121">
        <v>7.4999999999999997E-2</v>
      </c>
      <c r="M308" s="176">
        <v>0.9</v>
      </c>
      <c r="N308" s="177">
        <v>3</v>
      </c>
      <c r="O308" s="177"/>
      <c r="P308" s="176">
        <v>12</v>
      </c>
      <c r="Q308" s="177">
        <f t="shared" si="144"/>
        <v>1743750</v>
      </c>
      <c r="R308" s="177">
        <f t="shared" si="125"/>
        <v>60665606.589831896</v>
      </c>
      <c r="S308" s="177">
        <f t="shared" si="145"/>
        <v>1057856.5149101936</v>
      </c>
      <c r="T308" s="177">
        <f t="shared" si="126"/>
        <v>685893.48508980637</v>
      </c>
      <c r="U308" s="178">
        <v>0.606656065898319</v>
      </c>
      <c r="V308" s="177"/>
      <c r="W308" s="176"/>
      <c r="X308" s="177">
        <f t="shared" si="123"/>
        <v>60665606.589831896</v>
      </c>
      <c r="Y308" s="177">
        <f t="shared" si="123"/>
        <v>1057856.5149101936</v>
      </c>
      <c r="Z308" s="179">
        <f t="shared" si="124"/>
        <v>60665606.589831896</v>
      </c>
      <c r="AA308" s="179">
        <f t="shared" si="124"/>
        <v>1057856.5149101936</v>
      </c>
      <c r="AB308" s="179"/>
      <c r="AC308" s="179"/>
      <c r="AD308" s="179"/>
      <c r="AE308" s="180"/>
      <c r="AF308" s="180"/>
      <c r="AG308" s="180"/>
      <c r="AH308" s="104"/>
      <c r="AI308" s="104"/>
      <c r="AJ308" s="104"/>
      <c r="AK308" s="104"/>
      <c r="AL308" s="104"/>
      <c r="AM308" s="104">
        <f t="shared" si="121"/>
        <v>0</v>
      </c>
      <c r="AN308" s="104"/>
      <c r="AO308" s="104"/>
      <c r="AP308" s="104"/>
      <c r="AQ308" s="104">
        <f t="shared" si="119"/>
        <v>0</v>
      </c>
      <c r="AR308" s="104"/>
      <c r="AS308" s="69">
        <f t="shared" si="127"/>
        <v>0</v>
      </c>
      <c r="AT308" s="104">
        <f t="shared" si="128"/>
        <v>0</v>
      </c>
      <c r="AU308" s="181"/>
      <c r="AV308" s="181"/>
      <c r="AW308" s="181"/>
      <c r="AX308" s="182"/>
      <c r="AY308" s="182"/>
      <c r="AZ308" s="182"/>
      <c r="BA308" s="182"/>
      <c r="BB308" s="108">
        <f t="shared" si="122"/>
        <v>0</v>
      </c>
      <c r="BC308" s="108">
        <f t="shared" si="148"/>
        <v>0</v>
      </c>
      <c r="BD308" s="183"/>
      <c r="BE308" s="183"/>
      <c r="BF308" s="183"/>
      <c r="BG308" s="110">
        <f t="shared" si="149"/>
        <v>0</v>
      </c>
      <c r="BH308" s="110"/>
      <c r="BI308" s="110">
        <f t="shared" si="129"/>
        <v>0</v>
      </c>
      <c r="BJ308" s="116">
        <f t="shared" si="130"/>
        <v>0</v>
      </c>
      <c r="BK308" s="116"/>
      <c r="BL308" s="79"/>
      <c r="BM308" s="184"/>
    </row>
    <row r="309" spans="1:67" s="185" customFormat="1" ht="25.5">
      <c r="A309" s="171">
        <f t="shared" si="120"/>
        <v>224</v>
      </c>
      <c r="B309" s="87" t="s">
        <v>441</v>
      </c>
      <c r="C309" s="172" t="s">
        <v>442</v>
      </c>
      <c r="D309" s="87" t="s">
        <v>111</v>
      </c>
      <c r="E309" s="87" t="s">
        <v>98</v>
      </c>
      <c r="F309" s="87"/>
      <c r="G309" s="87"/>
      <c r="H309" s="174">
        <v>43770</v>
      </c>
      <c r="I309" s="174">
        <v>43770</v>
      </c>
      <c r="J309" s="175">
        <v>100000000</v>
      </c>
      <c r="K309" s="121">
        <v>7.7499999999999999E-2</v>
      </c>
      <c r="L309" s="121">
        <v>7.4999999999999997E-2</v>
      </c>
      <c r="M309" s="176">
        <v>0.9</v>
      </c>
      <c r="N309" s="177">
        <v>1</v>
      </c>
      <c r="O309" s="177"/>
      <c r="P309" s="176">
        <v>12</v>
      </c>
      <c r="Q309" s="177">
        <f t="shared" si="144"/>
        <v>581250</v>
      </c>
      <c r="R309" s="177">
        <f t="shared" si="125"/>
        <v>60665606.589831896</v>
      </c>
      <c r="S309" s="177">
        <f t="shared" si="145"/>
        <v>352618.83830339788</v>
      </c>
      <c r="T309" s="177">
        <f t="shared" si="126"/>
        <v>228631.16169660212</v>
      </c>
      <c r="U309" s="178">
        <v>0.606656065898319</v>
      </c>
      <c r="V309" s="177"/>
      <c r="W309" s="176"/>
      <c r="X309" s="177">
        <f t="shared" si="123"/>
        <v>60665606.589831896</v>
      </c>
      <c r="Y309" s="177">
        <f t="shared" si="123"/>
        <v>352618.83830339788</v>
      </c>
      <c r="Z309" s="179">
        <f t="shared" si="124"/>
        <v>60665606.589831896</v>
      </c>
      <c r="AA309" s="179">
        <f t="shared" si="124"/>
        <v>352618.83830339788</v>
      </c>
      <c r="AB309" s="179"/>
      <c r="AC309" s="179"/>
      <c r="AD309" s="179"/>
      <c r="AE309" s="180"/>
      <c r="AF309" s="180"/>
      <c r="AG309" s="180"/>
      <c r="AH309" s="104"/>
      <c r="AI309" s="104"/>
      <c r="AJ309" s="104"/>
      <c r="AK309" s="104"/>
      <c r="AL309" s="104"/>
      <c r="AM309" s="104">
        <f t="shared" si="121"/>
        <v>0</v>
      </c>
      <c r="AN309" s="104"/>
      <c r="AO309" s="104"/>
      <c r="AP309" s="104"/>
      <c r="AQ309" s="104">
        <f t="shared" si="119"/>
        <v>0</v>
      </c>
      <c r="AR309" s="104"/>
      <c r="AS309" s="69">
        <f t="shared" si="127"/>
        <v>0</v>
      </c>
      <c r="AT309" s="104">
        <f t="shared" si="128"/>
        <v>0</v>
      </c>
      <c r="AU309" s="181"/>
      <c r="AV309" s="181"/>
      <c r="AW309" s="181"/>
      <c r="AX309" s="182"/>
      <c r="AY309" s="182"/>
      <c r="AZ309" s="182"/>
      <c r="BA309" s="182"/>
      <c r="BB309" s="108">
        <f t="shared" si="122"/>
        <v>0</v>
      </c>
      <c r="BC309" s="108">
        <f t="shared" si="148"/>
        <v>0</v>
      </c>
      <c r="BD309" s="183"/>
      <c r="BE309" s="183"/>
      <c r="BF309" s="183"/>
      <c r="BG309" s="110">
        <f t="shared" si="149"/>
        <v>0</v>
      </c>
      <c r="BH309" s="110"/>
      <c r="BI309" s="110">
        <f t="shared" si="129"/>
        <v>0</v>
      </c>
      <c r="BJ309" s="116">
        <f t="shared" si="130"/>
        <v>0</v>
      </c>
      <c r="BK309" s="116"/>
      <c r="BL309" s="79"/>
      <c r="BM309" s="184"/>
    </row>
    <row r="310" spans="1:67" s="185" customFormat="1" ht="25.5">
      <c r="A310" s="171">
        <f t="shared" si="120"/>
        <v>225</v>
      </c>
      <c r="B310" s="87" t="s">
        <v>441</v>
      </c>
      <c r="C310" s="172" t="s">
        <v>442</v>
      </c>
      <c r="D310" s="87" t="s">
        <v>111</v>
      </c>
      <c r="E310" s="87" t="s">
        <v>98</v>
      </c>
      <c r="F310" s="87"/>
      <c r="G310" s="87"/>
      <c r="H310" s="174">
        <v>43800</v>
      </c>
      <c r="I310" s="174">
        <v>43800</v>
      </c>
      <c r="J310" s="175">
        <v>100000000</v>
      </c>
      <c r="K310" s="121">
        <v>7.7499999999999999E-2</v>
      </c>
      <c r="L310" s="121">
        <v>7.4999999999999997E-2</v>
      </c>
      <c r="M310" s="176">
        <v>0.9</v>
      </c>
      <c r="N310" s="177">
        <v>0</v>
      </c>
      <c r="O310" s="177"/>
      <c r="P310" s="176">
        <v>12</v>
      </c>
      <c r="Q310" s="177">
        <f t="shared" si="144"/>
        <v>0</v>
      </c>
      <c r="R310" s="177">
        <f t="shared" si="125"/>
        <v>60665606.589831896</v>
      </c>
      <c r="S310" s="177">
        <f t="shared" si="145"/>
        <v>0</v>
      </c>
      <c r="T310" s="177">
        <f t="shared" si="126"/>
        <v>0</v>
      </c>
      <c r="U310" s="178">
        <v>0.606656065898319</v>
      </c>
      <c r="V310" s="177"/>
      <c r="W310" s="176"/>
      <c r="X310" s="177">
        <f t="shared" si="123"/>
        <v>60665606.589831896</v>
      </c>
      <c r="Y310" s="177">
        <f t="shared" si="123"/>
        <v>0</v>
      </c>
      <c r="Z310" s="179">
        <f t="shared" si="124"/>
        <v>60665606.589831896</v>
      </c>
      <c r="AA310" s="179">
        <f t="shared" si="124"/>
        <v>0</v>
      </c>
      <c r="AB310" s="179"/>
      <c r="AC310" s="179"/>
      <c r="AD310" s="179">
        <f t="shared" si="131"/>
        <v>0</v>
      </c>
      <c r="AE310" s="180">
        <v>0</v>
      </c>
      <c r="AF310" s="180">
        <f t="shared" ref="AF310:AF318" si="150">AD310/K310/M310/9*P310</f>
        <v>0</v>
      </c>
      <c r="AG310" s="180"/>
      <c r="AH310" s="104"/>
      <c r="AI310" s="104"/>
      <c r="AJ310" s="104"/>
      <c r="AK310" s="104"/>
      <c r="AL310" s="104"/>
      <c r="AM310" s="104">
        <f t="shared" si="121"/>
        <v>0</v>
      </c>
      <c r="AN310" s="104"/>
      <c r="AO310" s="104"/>
      <c r="AP310" s="104"/>
      <c r="AQ310" s="104">
        <f t="shared" si="119"/>
        <v>0</v>
      </c>
      <c r="AR310" s="104"/>
      <c r="AS310" s="69">
        <f t="shared" si="127"/>
        <v>0</v>
      </c>
      <c r="AT310" s="104">
        <f t="shared" si="128"/>
        <v>0</v>
      </c>
      <c r="AU310" s="181">
        <f t="shared" ref="AU310:AU318" si="151">AD310/K310/M310/8*P310</f>
        <v>0</v>
      </c>
      <c r="AV310" s="181"/>
      <c r="AW310" s="181"/>
      <c r="AX310" s="182"/>
      <c r="AY310" s="182"/>
      <c r="AZ310" s="182"/>
      <c r="BA310" s="182"/>
      <c r="BB310" s="108">
        <f t="shared" si="122"/>
        <v>0</v>
      </c>
      <c r="BC310" s="108">
        <f t="shared" si="148"/>
        <v>0</v>
      </c>
      <c r="BD310" s="183"/>
      <c r="BE310" s="183"/>
      <c r="BF310" s="183"/>
      <c r="BG310" s="110">
        <f t="shared" si="149"/>
        <v>0</v>
      </c>
      <c r="BH310" s="110"/>
      <c r="BI310" s="110">
        <f t="shared" si="129"/>
        <v>0</v>
      </c>
      <c r="BJ310" s="116">
        <f t="shared" si="130"/>
        <v>0</v>
      </c>
      <c r="BK310" s="116"/>
      <c r="BL310" s="79"/>
      <c r="BM310" s="184"/>
    </row>
    <row r="311" spans="1:67" s="185" customFormat="1" ht="25.5">
      <c r="A311" s="171">
        <f t="shared" si="120"/>
        <v>226</v>
      </c>
      <c r="B311" s="87" t="s">
        <v>441</v>
      </c>
      <c r="C311" s="172" t="s">
        <v>442</v>
      </c>
      <c r="D311" s="87" t="s">
        <v>111</v>
      </c>
      <c r="E311" s="87" t="s">
        <v>98</v>
      </c>
      <c r="F311" s="87"/>
      <c r="G311" s="87"/>
      <c r="H311" s="174">
        <v>43800</v>
      </c>
      <c r="I311" s="174">
        <v>43800</v>
      </c>
      <c r="J311" s="175">
        <v>100000000</v>
      </c>
      <c r="K311" s="121">
        <v>7.7499999999999999E-2</v>
      </c>
      <c r="L311" s="121">
        <v>7.4999999999999997E-2</v>
      </c>
      <c r="M311" s="176">
        <v>0.9</v>
      </c>
      <c r="N311" s="177">
        <v>0</v>
      </c>
      <c r="O311" s="177"/>
      <c r="P311" s="176">
        <v>12</v>
      </c>
      <c r="Q311" s="177">
        <f t="shared" si="144"/>
        <v>0</v>
      </c>
      <c r="R311" s="177">
        <f t="shared" si="125"/>
        <v>60665606.589831896</v>
      </c>
      <c r="S311" s="177">
        <f t="shared" si="145"/>
        <v>0</v>
      </c>
      <c r="T311" s="177">
        <f t="shared" si="126"/>
        <v>0</v>
      </c>
      <c r="U311" s="178">
        <v>0.606656065898319</v>
      </c>
      <c r="V311" s="177"/>
      <c r="W311" s="176"/>
      <c r="X311" s="177">
        <f t="shared" si="123"/>
        <v>60665606.589831896</v>
      </c>
      <c r="Y311" s="177">
        <f t="shared" si="123"/>
        <v>0</v>
      </c>
      <c r="Z311" s="179">
        <f t="shared" si="124"/>
        <v>60665606.589831896</v>
      </c>
      <c r="AA311" s="179">
        <f t="shared" si="124"/>
        <v>0</v>
      </c>
      <c r="AB311" s="179"/>
      <c r="AC311" s="179"/>
      <c r="AD311" s="179">
        <f t="shared" si="131"/>
        <v>0</v>
      </c>
      <c r="AE311" s="180">
        <v>0</v>
      </c>
      <c r="AF311" s="180">
        <f t="shared" si="150"/>
        <v>0</v>
      </c>
      <c r="AG311" s="180"/>
      <c r="AH311" s="104"/>
      <c r="AI311" s="104"/>
      <c r="AJ311" s="104"/>
      <c r="AK311" s="104"/>
      <c r="AL311" s="104"/>
      <c r="AM311" s="104">
        <f t="shared" si="121"/>
        <v>0</v>
      </c>
      <c r="AN311" s="104"/>
      <c r="AO311" s="104"/>
      <c r="AP311" s="104"/>
      <c r="AQ311" s="104">
        <f t="shared" si="119"/>
        <v>0</v>
      </c>
      <c r="AR311" s="104"/>
      <c r="AS311" s="69">
        <f t="shared" si="127"/>
        <v>0</v>
      </c>
      <c r="AT311" s="104">
        <f t="shared" si="128"/>
        <v>0</v>
      </c>
      <c r="AU311" s="181">
        <f t="shared" si="151"/>
        <v>0</v>
      </c>
      <c r="AV311" s="181"/>
      <c r="AW311" s="181"/>
      <c r="AX311" s="182"/>
      <c r="AY311" s="182"/>
      <c r="AZ311" s="182"/>
      <c r="BA311" s="182"/>
      <c r="BB311" s="108">
        <f t="shared" si="122"/>
        <v>0</v>
      </c>
      <c r="BC311" s="108">
        <f t="shared" si="148"/>
        <v>0</v>
      </c>
      <c r="BD311" s="183"/>
      <c r="BE311" s="183"/>
      <c r="BF311" s="183"/>
      <c r="BG311" s="110">
        <f t="shared" si="149"/>
        <v>0</v>
      </c>
      <c r="BH311" s="110"/>
      <c r="BI311" s="110">
        <f t="shared" si="129"/>
        <v>0</v>
      </c>
      <c r="BJ311" s="116">
        <f t="shared" si="130"/>
        <v>0</v>
      </c>
      <c r="BK311" s="116"/>
      <c r="BL311" s="79"/>
      <c r="BM311" s="184"/>
    </row>
    <row r="312" spans="1:67" s="352" customFormat="1" ht="38.25">
      <c r="A312" s="84">
        <f>A311+1</f>
        <v>227</v>
      </c>
      <c r="B312" s="85" t="s">
        <v>443</v>
      </c>
      <c r="C312" s="86" t="s">
        <v>444</v>
      </c>
      <c r="D312" s="85" t="s">
        <v>111</v>
      </c>
      <c r="E312" s="87" t="s">
        <v>98</v>
      </c>
      <c r="F312" s="85"/>
      <c r="G312" s="85"/>
      <c r="H312" s="90">
        <v>43497</v>
      </c>
      <c r="I312" s="90">
        <v>43497</v>
      </c>
      <c r="J312" s="91">
        <v>20000000</v>
      </c>
      <c r="K312" s="120">
        <v>7.7499999999999999E-2</v>
      </c>
      <c r="L312" s="121">
        <v>7.4999999999999997E-2</v>
      </c>
      <c r="M312" s="97">
        <v>0.9</v>
      </c>
      <c r="N312" s="95">
        <v>10</v>
      </c>
      <c r="O312" s="95"/>
      <c r="P312" s="97">
        <v>12</v>
      </c>
      <c r="Q312" s="95">
        <f t="shared" si="144"/>
        <v>1162500</v>
      </c>
      <c r="R312" s="95">
        <f t="shared" si="125"/>
        <v>12133121.317966379</v>
      </c>
      <c r="S312" s="95">
        <f t="shared" si="145"/>
        <v>705237.67660679575</v>
      </c>
      <c r="T312" s="95">
        <f t="shared" si="126"/>
        <v>457262.32339320425</v>
      </c>
      <c r="U312" s="96">
        <v>0.606656065898319</v>
      </c>
      <c r="V312" s="95"/>
      <c r="W312" s="97"/>
      <c r="X312" s="95">
        <f t="shared" si="123"/>
        <v>12133121.317966379</v>
      </c>
      <c r="Y312" s="95">
        <f t="shared" si="123"/>
        <v>705237.67660679575</v>
      </c>
      <c r="Z312" s="98">
        <f t="shared" si="124"/>
        <v>12133121.317966379</v>
      </c>
      <c r="AA312" s="98">
        <f t="shared" si="124"/>
        <v>705237.67660679575</v>
      </c>
      <c r="AB312" s="98">
        <f>2665787.67-AB314-AB315-479550.87</f>
        <v>705237.67999999982</v>
      </c>
      <c r="AC312" s="98"/>
      <c r="AD312" s="98">
        <f t="shared" si="131"/>
        <v>-3.3932040678337216E-3</v>
      </c>
      <c r="AE312" s="100">
        <v>7632326.2603403106</v>
      </c>
      <c r="AF312" s="100">
        <f t="shared" si="150"/>
        <v>-6.4864115992042476E-2</v>
      </c>
      <c r="AG312" s="100"/>
      <c r="AH312" s="101"/>
      <c r="AI312" s="101"/>
      <c r="AJ312" s="101"/>
      <c r="AK312" s="101"/>
      <c r="AL312" s="101"/>
      <c r="AM312" s="104">
        <f t="shared" si="121"/>
        <v>-3.3932040678337216E-3</v>
      </c>
      <c r="AN312" s="104"/>
      <c r="AO312" s="104"/>
      <c r="AP312" s="104"/>
      <c r="AQ312" s="104">
        <f t="shared" si="119"/>
        <v>-3.3932040678337216E-3</v>
      </c>
      <c r="AR312" s="104"/>
      <c r="AS312" s="69">
        <f t="shared" si="127"/>
        <v>-3.3932040678337216E-3</v>
      </c>
      <c r="AT312" s="104">
        <f t="shared" si="128"/>
        <v>0</v>
      </c>
      <c r="AU312" s="105">
        <f t="shared" si="151"/>
        <v>-7.2972130491047782E-2</v>
      </c>
      <c r="AV312" s="106"/>
      <c r="AW312" s="106"/>
      <c r="AX312" s="107"/>
      <c r="AY312" s="107"/>
      <c r="AZ312" s="107"/>
      <c r="BA312" s="107"/>
      <c r="BB312" s="108">
        <f t="shared" si="122"/>
        <v>-7.2972130491047782E-2</v>
      </c>
      <c r="BC312" s="108">
        <f t="shared" si="148"/>
        <v>-8.3396720561197457E-2</v>
      </c>
      <c r="BD312" s="109"/>
      <c r="BE312" s="109"/>
      <c r="BF312" s="109"/>
      <c r="BG312" s="110">
        <f t="shared" si="149"/>
        <v>-9.72961739880637E-2</v>
      </c>
      <c r="BH312" s="110"/>
      <c r="BI312" s="110">
        <f t="shared" si="129"/>
        <v>-3.3932040678337216E-3</v>
      </c>
      <c r="BJ312" s="116">
        <f t="shared" si="130"/>
        <v>-0.15080906968149876</v>
      </c>
      <c r="BK312" s="116"/>
      <c r="BL312" s="79"/>
      <c r="BM312" s="351"/>
    </row>
    <row r="313" spans="1:67" ht="38.25">
      <c r="A313" s="236">
        <f t="shared" si="120"/>
        <v>228</v>
      </c>
      <c r="B313" s="237" t="s">
        <v>443</v>
      </c>
      <c r="C313" s="253" t="s">
        <v>444</v>
      </c>
      <c r="D313" s="237" t="s">
        <v>64</v>
      </c>
      <c r="E313" s="237" t="s">
        <v>98</v>
      </c>
      <c r="F313" s="237"/>
      <c r="G313" s="237"/>
      <c r="H313" s="238">
        <v>43497</v>
      </c>
      <c r="I313" s="238" t="s">
        <v>375</v>
      </c>
      <c r="J313" s="239">
        <v>10000000</v>
      </c>
      <c r="K313" s="240">
        <v>7.7499999999999999E-2</v>
      </c>
      <c r="L313" s="63">
        <v>7.4999999999999997E-2</v>
      </c>
      <c r="M313" s="241">
        <v>0.9</v>
      </c>
      <c r="N313" s="242">
        <v>10</v>
      </c>
      <c r="O313" s="242">
        <v>5</v>
      </c>
      <c r="P313" s="241">
        <v>12</v>
      </c>
      <c r="Q313" s="242">
        <f t="shared" si="144"/>
        <v>581250</v>
      </c>
      <c r="R313" s="242">
        <f t="shared" si="125"/>
        <v>6066560.6589831896</v>
      </c>
      <c r="S313" s="242">
        <f t="shared" si="145"/>
        <v>352618.83830339788</v>
      </c>
      <c r="T313" s="242">
        <f t="shared" si="126"/>
        <v>228631.16169660212</v>
      </c>
      <c r="U313" s="243">
        <v>0.606656065898319</v>
      </c>
      <c r="V313" s="242"/>
      <c r="W313" s="241"/>
      <c r="X313" s="242">
        <f t="shared" si="123"/>
        <v>6066560.6589831896</v>
      </c>
      <c r="Y313" s="242">
        <f t="shared" si="123"/>
        <v>352618.83830339788</v>
      </c>
      <c r="Z313" s="244">
        <f t="shared" si="124"/>
        <v>6066560.6589831896</v>
      </c>
      <c r="AA313" s="244">
        <f t="shared" si="124"/>
        <v>352618.83830339788</v>
      </c>
      <c r="AB313" s="244"/>
      <c r="AC313" s="244"/>
      <c r="AD313" s="244">
        <f t="shared" si="131"/>
        <v>352618.83830339788</v>
      </c>
      <c r="AE313" s="246">
        <v>0</v>
      </c>
      <c r="AF313" s="246">
        <f t="shared" si="150"/>
        <v>6740622.9544257652</v>
      </c>
      <c r="AG313" s="246"/>
      <c r="AH313" s="247"/>
      <c r="AI313" s="247"/>
      <c r="AJ313" s="70"/>
      <c r="AK313" s="70"/>
      <c r="AL313" s="71">
        <v>278113.32</v>
      </c>
      <c r="AM313" s="69">
        <f t="shared" si="121"/>
        <v>74505.518303397868</v>
      </c>
      <c r="AN313" s="69"/>
      <c r="AO313" s="69"/>
      <c r="AP313" s="69"/>
      <c r="AQ313" s="69">
        <f t="shared" si="119"/>
        <v>74505.518303397868</v>
      </c>
      <c r="AR313" s="69">
        <v>70543.23</v>
      </c>
      <c r="AS313" s="69">
        <f t="shared" si="127"/>
        <v>3962.2883033978724</v>
      </c>
      <c r="AT313" s="69">
        <f t="shared" si="128"/>
        <v>3962.2882500000001</v>
      </c>
      <c r="AU313" s="248">
        <f t="shared" si="151"/>
        <v>7583200.8237289861</v>
      </c>
      <c r="AV313" s="248"/>
      <c r="AW313" s="248"/>
      <c r="AX313" s="249"/>
      <c r="AY313" s="74"/>
      <c r="AZ313" s="74"/>
      <c r="BA313" s="250">
        <v>7580000</v>
      </c>
      <c r="BB313" s="76">
        <f t="shared" si="122"/>
        <v>3200.8237289860845</v>
      </c>
      <c r="BC313" s="76">
        <f t="shared" si="148"/>
        <v>1831164.8123722975</v>
      </c>
      <c r="BD313" s="251"/>
      <c r="BE313" s="251"/>
      <c r="BF313" s="251"/>
      <c r="BG313" s="78">
        <f t="shared" si="149"/>
        <v>2136358.9477676805</v>
      </c>
      <c r="BH313" s="78"/>
      <c r="BI313" s="78">
        <f t="shared" si="129"/>
        <v>5.3397872306959471E-5</v>
      </c>
      <c r="BJ313" s="79">
        <f t="shared" si="130"/>
        <v>176101.70237323878</v>
      </c>
      <c r="BK313" s="79">
        <v>176101.7</v>
      </c>
      <c r="BL313" s="79">
        <v>2649000</v>
      </c>
      <c r="BM313" s="293" t="s">
        <v>445</v>
      </c>
      <c r="BN313" s="81" t="s">
        <v>64</v>
      </c>
      <c r="BO313" s="405">
        <v>2649000</v>
      </c>
    </row>
    <row r="314" spans="1:67" s="112" customFormat="1" ht="38.25">
      <c r="A314" s="84">
        <f t="shared" si="120"/>
        <v>229</v>
      </c>
      <c r="B314" s="85" t="s">
        <v>443</v>
      </c>
      <c r="C314" s="86" t="s">
        <v>444</v>
      </c>
      <c r="D314" s="85" t="s">
        <v>111</v>
      </c>
      <c r="E314" s="87" t="s">
        <v>98</v>
      </c>
      <c r="F314" s="89"/>
      <c r="G314" s="89"/>
      <c r="H314" s="90">
        <v>43525</v>
      </c>
      <c r="I314" s="90">
        <v>43525</v>
      </c>
      <c r="J314" s="91">
        <v>20000000</v>
      </c>
      <c r="K314" s="92">
        <v>7.7499999999999999E-2</v>
      </c>
      <c r="L314" s="63">
        <v>7.4999999999999997E-2</v>
      </c>
      <c r="M314" s="93">
        <v>0.9</v>
      </c>
      <c r="N314" s="94">
        <v>9</v>
      </c>
      <c r="O314" s="94"/>
      <c r="P314" s="93">
        <v>12</v>
      </c>
      <c r="Q314" s="95">
        <f t="shared" si="144"/>
        <v>1046250</v>
      </c>
      <c r="R314" s="94">
        <f t="shared" si="125"/>
        <v>12133121.317966379</v>
      </c>
      <c r="S314" s="95">
        <f t="shared" si="145"/>
        <v>634713.90894611622</v>
      </c>
      <c r="T314" s="95">
        <f t="shared" si="126"/>
        <v>411536.09105388378</v>
      </c>
      <c r="U314" s="96">
        <v>0.606656065898319</v>
      </c>
      <c r="V314" s="94"/>
      <c r="W314" s="97"/>
      <c r="X314" s="95">
        <f t="shared" si="123"/>
        <v>12133121.317966379</v>
      </c>
      <c r="Y314" s="95">
        <f t="shared" si="123"/>
        <v>634713.90894611622</v>
      </c>
      <c r="Z314" s="98">
        <f t="shared" si="124"/>
        <v>12133121.317966379</v>
      </c>
      <c r="AA314" s="98">
        <f t="shared" si="124"/>
        <v>634713.90894611622</v>
      </c>
      <c r="AB314" s="98">
        <v>634713.91</v>
      </c>
      <c r="AC314" s="98"/>
      <c r="AD314" s="98">
        <f t="shared" si="131"/>
        <v>-1.0538838105276227E-3</v>
      </c>
      <c r="AE314" s="100">
        <v>0</v>
      </c>
      <c r="AF314" s="100">
        <f t="shared" si="150"/>
        <v>-2.0145927082965309E-2</v>
      </c>
      <c r="AG314" s="100"/>
      <c r="AH314" s="101"/>
      <c r="AI314" s="101"/>
      <c r="AJ314" s="101"/>
      <c r="AK314" s="101"/>
      <c r="AL314" s="101"/>
      <c r="AM314" s="104">
        <f t="shared" si="121"/>
        <v>-1.0538838105276227E-3</v>
      </c>
      <c r="AN314" s="104"/>
      <c r="AO314" s="104"/>
      <c r="AP314" s="104"/>
      <c r="AQ314" s="104">
        <f t="shared" si="119"/>
        <v>-1.0538838105276227E-3</v>
      </c>
      <c r="AR314" s="104"/>
      <c r="AS314" s="104">
        <f t="shared" si="127"/>
        <v>-1.0538838105276227E-3</v>
      </c>
      <c r="AT314" s="104">
        <f t="shared" si="128"/>
        <v>0</v>
      </c>
      <c r="AU314" s="105">
        <f t="shared" si="151"/>
        <v>-2.2664167968335973E-2</v>
      </c>
      <c r="AV314" s="106"/>
      <c r="AW314" s="106"/>
      <c r="AX314" s="107"/>
      <c r="AY314" s="107"/>
      <c r="AZ314" s="107"/>
      <c r="BA314" s="107"/>
      <c r="BB314" s="108">
        <f t="shared" si="122"/>
        <v>-2.2664167968335973E-2</v>
      </c>
      <c r="BC314" s="108">
        <f t="shared" si="148"/>
        <v>-2.5901906249526825E-2</v>
      </c>
      <c r="BD314" s="109"/>
      <c r="BE314" s="109"/>
      <c r="BF314" s="109"/>
      <c r="BG314" s="110">
        <f t="shared" si="149"/>
        <v>-3.0218890624447964E-2</v>
      </c>
      <c r="BH314" s="110"/>
      <c r="BI314" s="110">
        <f t="shared" si="129"/>
        <v>-1.0538838105276227E-3</v>
      </c>
      <c r="BJ314" s="116">
        <f t="shared" si="130"/>
        <v>-4.6839280467894345E-2</v>
      </c>
      <c r="BK314" s="116"/>
      <c r="BL314" s="79"/>
      <c r="BM314" s="111"/>
    </row>
    <row r="315" spans="1:67" s="112" customFormat="1" ht="38.25">
      <c r="A315" s="84">
        <f t="shared" si="120"/>
        <v>230</v>
      </c>
      <c r="B315" s="85" t="s">
        <v>443</v>
      </c>
      <c r="C315" s="86" t="s">
        <v>444</v>
      </c>
      <c r="D315" s="85" t="s">
        <v>111</v>
      </c>
      <c r="E315" s="87" t="s">
        <v>98</v>
      </c>
      <c r="F315" s="89"/>
      <c r="G315" s="89"/>
      <c r="H315" s="90">
        <v>43556</v>
      </c>
      <c r="I315" s="90">
        <v>43556</v>
      </c>
      <c r="J315" s="91">
        <v>30000000</v>
      </c>
      <c r="K315" s="92">
        <v>7.7499999999999999E-2</v>
      </c>
      <c r="L315" s="63">
        <v>7.4999999999999997E-2</v>
      </c>
      <c r="M315" s="93">
        <v>0.9</v>
      </c>
      <c r="N315" s="94">
        <v>8</v>
      </c>
      <c r="O315" s="94"/>
      <c r="P315" s="93">
        <v>12</v>
      </c>
      <c r="Q315" s="95">
        <f t="shared" si="144"/>
        <v>1395000</v>
      </c>
      <c r="R315" s="94">
        <f t="shared" si="125"/>
        <v>18199681.976949569</v>
      </c>
      <c r="S315" s="95">
        <f t="shared" si="145"/>
        <v>846285.21192815492</v>
      </c>
      <c r="T315" s="95">
        <f t="shared" si="126"/>
        <v>548714.78807184508</v>
      </c>
      <c r="U315" s="96">
        <v>0.606656065898319</v>
      </c>
      <c r="V315" s="94"/>
      <c r="W315" s="97"/>
      <c r="X315" s="95">
        <f t="shared" si="123"/>
        <v>18199681.976949569</v>
      </c>
      <c r="Y315" s="95">
        <f t="shared" si="123"/>
        <v>846285.21192815492</v>
      </c>
      <c r="Z315" s="98">
        <f t="shared" si="124"/>
        <v>18199681.976949569</v>
      </c>
      <c r="AA315" s="98">
        <f t="shared" si="124"/>
        <v>846285.21192815492</v>
      </c>
      <c r="AB315" s="98">
        <v>846285.21</v>
      </c>
      <c r="AC315" s="98"/>
      <c r="AD315" s="98">
        <f t="shared" si="131"/>
        <v>1.9281549612060189E-3</v>
      </c>
      <c r="AE315" s="100">
        <v>0</v>
      </c>
      <c r="AF315" s="100">
        <f t="shared" si="150"/>
        <v>3.6858398302624017E-2</v>
      </c>
      <c r="AG315" s="100"/>
      <c r="AH315" s="101"/>
      <c r="AI315" s="101"/>
      <c r="AJ315" s="101"/>
      <c r="AK315" s="101"/>
      <c r="AL315" s="101"/>
      <c r="AM315" s="104">
        <f t="shared" si="121"/>
        <v>1.9281549612060189E-3</v>
      </c>
      <c r="AN315" s="104"/>
      <c r="AO315" s="104"/>
      <c r="AP315" s="104"/>
      <c r="AQ315" s="104">
        <f t="shared" si="119"/>
        <v>1.9281549612060189E-3</v>
      </c>
      <c r="AR315" s="104"/>
      <c r="AS315" s="104">
        <f t="shared" si="127"/>
        <v>1.9281549612060189E-3</v>
      </c>
      <c r="AT315" s="104">
        <f t="shared" si="128"/>
        <v>0</v>
      </c>
      <c r="AU315" s="181">
        <f t="shared" si="151"/>
        <v>4.1465698090452023E-2</v>
      </c>
      <c r="AV315" s="106"/>
      <c r="AW315" s="106"/>
      <c r="AX315" s="107"/>
      <c r="AY315" s="107"/>
      <c r="AZ315" s="107"/>
      <c r="BA315" s="107"/>
      <c r="BB315" s="108">
        <f t="shared" si="122"/>
        <v>4.1465698090452023E-2</v>
      </c>
      <c r="BC315" s="108">
        <f t="shared" si="148"/>
        <v>4.7389369246230884E-2</v>
      </c>
      <c r="BD315" s="109"/>
      <c r="BE315" s="109"/>
      <c r="BF315" s="109"/>
      <c r="BG315" s="110">
        <f t="shared" si="149"/>
        <v>5.5287597453936022E-2</v>
      </c>
      <c r="BH315" s="110"/>
      <c r="BI315" s="110">
        <f t="shared" si="129"/>
        <v>1.9281549612060189E-3</v>
      </c>
      <c r="BJ315" s="116">
        <f t="shared" si="130"/>
        <v>8.5695776053600847E-2</v>
      </c>
      <c r="BK315" s="116"/>
      <c r="BL315" s="79"/>
      <c r="BM315" s="111"/>
    </row>
    <row r="316" spans="1:67" ht="38.25">
      <c r="A316" s="236">
        <f t="shared" si="120"/>
        <v>231</v>
      </c>
      <c r="B316" s="127" t="s">
        <v>443</v>
      </c>
      <c r="C316" s="140" t="s">
        <v>444</v>
      </c>
      <c r="D316" s="127" t="s">
        <v>298</v>
      </c>
      <c r="E316" s="237" t="s">
        <v>98</v>
      </c>
      <c r="F316" s="237"/>
      <c r="G316" s="237"/>
      <c r="H316" s="238">
        <v>43586</v>
      </c>
      <c r="I316" s="238">
        <v>43586</v>
      </c>
      <c r="J316" s="239">
        <v>30000000</v>
      </c>
      <c r="K316" s="240">
        <v>7.7499999999999999E-2</v>
      </c>
      <c r="L316" s="63">
        <v>7.4999999999999997E-2</v>
      </c>
      <c r="M316" s="241">
        <v>0.9</v>
      </c>
      <c r="N316" s="242">
        <v>7</v>
      </c>
      <c r="O316" s="242">
        <v>5</v>
      </c>
      <c r="P316" s="241">
        <v>12</v>
      </c>
      <c r="Q316" s="242">
        <f t="shared" si="144"/>
        <v>1220625</v>
      </c>
      <c r="R316" s="242">
        <f t="shared" si="125"/>
        <v>18199681.976949569</v>
      </c>
      <c r="S316" s="242">
        <f t="shared" si="145"/>
        <v>740499.56043713551</v>
      </c>
      <c r="T316" s="242">
        <f t="shared" si="126"/>
        <v>480125.43956286449</v>
      </c>
      <c r="U316" s="243">
        <v>0.606656065898319</v>
      </c>
      <c r="V316" s="242"/>
      <c r="W316" s="241"/>
      <c r="X316" s="242">
        <f t="shared" si="123"/>
        <v>18199681.976949569</v>
      </c>
      <c r="Y316" s="242">
        <f t="shared" si="123"/>
        <v>740499.56043713551</v>
      </c>
      <c r="Z316" s="244">
        <f t="shared" si="124"/>
        <v>18199681.976949569</v>
      </c>
      <c r="AA316" s="244">
        <f t="shared" si="124"/>
        <v>740499.56043713551</v>
      </c>
      <c r="AB316" s="244">
        <v>479550.87</v>
      </c>
      <c r="AC316" s="244"/>
      <c r="AD316" s="328">
        <f t="shared" si="131"/>
        <v>260948.69043713552</v>
      </c>
      <c r="AE316" s="246">
        <v>0</v>
      </c>
      <c r="AF316" s="246">
        <f t="shared" si="150"/>
        <v>4988266.483864001</v>
      </c>
      <c r="AG316" s="246"/>
      <c r="AH316" s="247"/>
      <c r="AI316" s="247"/>
      <c r="AJ316" s="70"/>
      <c r="AK316" s="70"/>
      <c r="AL316" s="71"/>
      <c r="AM316" s="69">
        <f t="shared" si="121"/>
        <v>260948.69043713552</v>
      </c>
      <c r="AN316" s="69"/>
      <c r="AO316" s="69"/>
      <c r="AP316" s="69"/>
      <c r="AQ316" s="69">
        <f t="shared" si="119"/>
        <v>260948.69043713552</v>
      </c>
      <c r="AR316" s="69">
        <v>247074.41</v>
      </c>
      <c r="AS316" s="69">
        <f t="shared" si="127"/>
        <v>13874.280437135516</v>
      </c>
      <c r="AT316" s="69">
        <f t="shared" si="128"/>
        <v>13874.280525</v>
      </c>
      <c r="AU316" s="248">
        <f t="shared" si="151"/>
        <v>5611799.7943470012</v>
      </c>
      <c r="AV316" s="248"/>
      <c r="AW316" s="248"/>
      <c r="AX316" s="249"/>
      <c r="AY316" s="74"/>
      <c r="AZ316" s="74"/>
      <c r="BA316" s="75"/>
      <c r="BB316" s="76">
        <f t="shared" si="122"/>
        <v>5611799.7943470012</v>
      </c>
      <c r="BC316" s="76">
        <f t="shared" si="148"/>
        <v>6413485.4792537149</v>
      </c>
      <c r="BD316" s="251"/>
      <c r="BE316" s="251"/>
      <c r="BF316" s="251"/>
      <c r="BG316" s="78">
        <f t="shared" si="149"/>
        <v>7482399.725796001</v>
      </c>
      <c r="BH316" s="78"/>
      <c r="BI316" s="78">
        <f t="shared" si="129"/>
        <v>-8.786448415776249E-5</v>
      </c>
      <c r="BJ316" s="79">
        <f t="shared" si="130"/>
        <v>616634.68609491177</v>
      </c>
      <c r="BK316" s="79">
        <v>616634.68999999994</v>
      </c>
      <c r="BL316" s="79">
        <v>9278000</v>
      </c>
      <c r="BM316" s="293" t="s">
        <v>445</v>
      </c>
      <c r="BN316" s="56" t="s">
        <v>76</v>
      </c>
      <c r="BO316" s="405">
        <v>9278000</v>
      </c>
    </row>
    <row r="317" spans="1:67" ht="38.25">
      <c r="A317" s="236">
        <f t="shared" si="120"/>
        <v>232</v>
      </c>
      <c r="B317" s="127" t="s">
        <v>443</v>
      </c>
      <c r="C317" s="140" t="s">
        <v>444</v>
      </c>
      <c r="D317" s="127" t="s">
        <v>298</v>
      </c>
      <c r="E317" s="237" t="s">
        <v>98</v>
      </c>
      <c r="F317" s="237"/>
      <c r="G317" s="237"/>
      <c r="H317" s="238">
        <v>43770</v>
      </c>
      <c r="I317" s="238">
        <v>43770</v>
      </c>
      <c r="J317" s="239">
        <v>20000000</v>
      </c>
      <c r="K317" s="240">
        <v>7.7499999999999999E-2</v>
      </c>
      <c r="L317" s="63">
        <v>7.4999999999999997E-2</v>
      </c>
      <c r="M317" s="241">
        <v>0.9</v>
      </c>
      <c r="N317" s="242">
        <v>1</v>
      </c>
      <c r="O317" s="242">
        <v>4</v>
      </c>
      <c r="P317" s="241">
        <v>12</v>
      </c>
      <c r="Q317" s="242">
        <f t="shared" si="144"/>
        <v>116250</v>
      </c>
      <c r="R317" s="242">
        <f t="shared" si="125"/>
        <v>12133121.317966379</v>
      </c>
      <c r="S317" s="242">
        <f t="shared" si="145"/>
        <v>70523.767660679572</v>
      </c>
      <c r="T317" s="242">
        <f t="shared" si="126"/>
        <v>45726.232339320428</v>
      </c>
      <c r="U317" s="243">
        <v>0.606656065898319</v>
      </c>
      <c r="V317" s="242"/>
      <c r="W317" s="241"/>
      <c r="X317" s="242">
        <f t="shared" si="123"/>
        <v>12133121.317966379</v>
      </c>
      <c r="Y317" s="242">
        <f t="shared" si="123"/>
        <v>70523.767660679572</v>
      </c>
      <c r="Z317" s="244">
        <f t="shared" si="124"/>
        <v>12133121.317966379</v>
      </c>
      <c r="AA317" s="244">
        <f t="shared" si="124"/>
        <v>70523.767660679572</v>
      </c>
      <c r="AB317" s="244"/>
      <c r="AC317" s="244"/>
      <c r="AD317" s="244">
        <f t="shared" si="131"/>
        <v>70523.767660679572</v>
      </c>
      <c r="AE317" s="246">
        <v>0</v>
      </c>
      <c r="AF317" s="246">
        <f t="shared" si="150"/>
        <v>1348124.5908851533</v>
      </c>
      <c r="AG317" s="246"/>
      <c r="AH317" s="247"/>
      <c r="AI317" s="247"/>
      <c r="AJ317" s="70"/>
      <c r="AK317" s="70"/>
      <c r="AL317" s="71"/>
      <c r="AM317" s="69">
        <f t="shared" si="121"/>
        <v>70523.767660679572</v>
      </c>
      <c r="AN317" s="69"/>
      <c r="AO317" s="69"/>
      <c r="AP317" s="69"/>
      <c r="AQ317" s="69">
        <f t="shared" si="119"/>
        <v>70523.767660679572</v>
      </c>
      <c r="AR317" s="69"/>
      <c r="AS317" s="69">
        <f t="shared" si="127"/>
        <v>70523.767660679572</v>
      </c>
      <c r="AT317" s="69">
        <f t="shared" si="128"/>
        <v>70523.767574999991</v>
      </c>
      <c r="AU317" s="248">
        <f t="shared" si="151"/>
        <v>1516640.1647457974</v>
      </c>
      <c r="AV317" s="248"/>
      <c r="AW317" s="248"/>
      <c r="AX317" s="249"/>
      <c r="AY317" s="74"/>
      <c r="AZ317" s="74"/>
      <c r="BA317" s="75"/>
      <c r="BB317" s="76">
        <f t="shared" si="122"/>
        <v>1516640.1647457974</v>
      </c>
      <c r="BC317" s="76">
        <f t="shared" si="148"/>
        <v>1733303.0454237685</v>
      </c>
      <c r="BD317" s="251"/>
      <c r="BE317" s="251"/>
      <c r="BF317" s="251"/>
      <c r="BG317" s="78">
        <f t="shared" si="149"/>
        <v>2022186.88632773</v>
      </c>
      <c r="BH317" s="78"/>
      <c r="BI317" s="78">
        <f t="shared" si="129"/>
        <v>8.5679581388831139E-5</v>
      </c>
      <c r="BJ317" s="79">
        <f t="shared" si="130"/>
        <v>3134389.673807981</v>
      </c>
      <c r="BK317" s="79">
        <v>3134389.67</v>
      </c>
      <c r="BL317" s="79">
        <v>20000000</v>
      </c>
      <c r="BM317" s="293" t="s">
        <v>446</v>
      </c>
      <c r="BN317" s="56" t="s">
        <v>76</v>
      </c>
    </row>
    <row r="318" spans="1:67" ht="38.25">
      <c r="A318" s="236">
        <f t="shared" si="120"/>
        <v>233</v>
      </c>
      <c r="B318" s="127" t="s">
        <v>443</v>
      </c>
      <c r="C318" s="140" t="s">
        <v>444</v>
      </c>
      <c r="D318" s="127" t="s">
        <v>298</v>
      </c>
      <c r="E318" s="237" t="s">
        <v>98</v>
      </c>
      <c r="F318" s="237"/>
      <c r="G318" s="237"/>
      <c r="H318" s="238">
        <v>43800</v>
      </c>
      <c r="I318" s="238">
        <v>43800</v>
      </c>
      <c r="J318" s="239">
        <v>20000000</v>
      </c>
      <c r="K318" s="240">
        <v>7.7499999999999999E-2</v>
      </c>
      <c r="L318" s="63">
        <v>7.4999999999999997E-2</v>
      </c>
      <c r="M318" s="241">
        <v>0.9</v>
      </c>
      <c r="N318" s="242">
        <v>0</v>
      </c>
      <c r="O318" s="242">
        <v>3</v>
      </c>
      <c r="P318" s="241">
        <v>12</v>
      </c>
      <c r="Q318" s="242">
        <f t="shared" si="144"/>
        <v>0</v>
      </c>
      <c r="R318" s="242">
        <f t="shared" si="125"/>
        <v>12133121.317966379</v>
      </c>
      <c r="S318" s="242">
        <f t="shared" si="145"/>
        <v>0</v>
      </c>
      <c r="T318" s="242">
        <f t="shared" si="126"/>
        <v>0</v>
      </c>
      <c r="U318" s="243">
        <v>0.606656065898319</v>
      </c>
      <c r="V318" s="242"/>
      <c r="W318" s="241"/>
      <c r="X318" s="242">
        <f t="shared" si="123"/>
        <v>12133121.317966379</v>
      </c>
      <c r="Y318" s="242">
        <f t="shared" si="123"/>
        <v>0</v>
      </c>
      <c r="Z318" s="244">
        <f t="shared" si="124"/>
        <v>12133121.317966379</v>
      </c>
      <c r="AA318" s="244">
        <f t="shared" si="124"/>
        <v>0</v>
      </c>
      <c r="AB318" s="244"/>
      <c r="AC318" s="244"/>
      <c r="AD318" s="244">
        <f t="shared" si="131"/>
        <v>0</v>
      </c>
      <c r="AE318" s="135">
        <v>0</v>
      </c>
      <c r="AF318" s="135">
        <f t="shared" si="150"/>
        <v>0</v>
      </c>
      <c r="AG318" s="135"/>
      <c r="AH318" s="70"/>
      <c r="AI318" s="70"/>
      <c r="AJ318" s="70"/>
      <c r="AK318" s="70"/>
      <c r="AL318" s="70"/>
      <c r="AM318" s="70">
        <f t="shared" si="121"/>
        <v>0</v>
      </c>
      <c r="AN318" s="70"/>
      <c r="AO318" s="70"/>
      <c r="AP318" s="70"/>
      <c r="AQ318" s="70">
        <f t="shared" si="119"/>
        <v>0</v>
      </c>
      <c r="AR318" s="70"/>
      <c r="AS318" s="69">
        <f t="shared" si="127"/>
        <v>0</v>
      </c>
      <c r="AT318" s="69">
        <f t="shared" si="128"/>
        <v>0</v>
      </c>
      <c r="AU318" s="181">
        <f t="shared" si="151"/>
        <v>0</v>
      </c>
      <c r="AV318" s="181"/>
      <c r="AW318" s="181"/>
      <c r="AX318" s="182"/>
      <c r="AY318" s="182"/>
      <c r="AZ318" s="182"/>
      <c r="BA318" s="182"/>
      <c r="BB318" s="108">
        <f t="shared" si="122"/>
        <v>0</v>
      </c>
      <c r="BC318" s="108">
        <f t="shared" si="148"/>
        <v>0</v>
      </c>
      <c r="BD318" s="183"/>
      <c r="BE318" s="183"/>
      <c r="BF318" s="183"/>
      <c r="BG318" s="110">
        <f t="shared" si="149"/>
        <v>0</v>
      </c>
      <c r="BH318" s="110"/>
      <c r="BI318" s="78">
        <f t="shared" si="129"/>
        <v>0</v>
      </c>
      <c r="BJ318" s="79">
        <f t="shared" si="130"/>
        <v>0</v>
      </c>
      <c r="BK318" s="79"/>
      <c r="BL318" s="79">
        <v>16000000</v>
      </c>
      <c r="BM318" s="293" t="s">
        <v>446</v>
      </c>
      <c r="BN318" s="56" t="s">
        <v>76</v>
      </c>
    </row>
    <row r="319" spans="1:67" ht="38.25" hidden="1">
      <c r="A319" s="236"/>
      <c r="B319" s="117" t="s">
        <v>443</v>
      </c>
      <c r="C319" s="118" t="s">
        <v>444</v>
      </c>
      <c r="D319" s="117" t="s">
        <v>298</v>
      </c>
      <c r="E319" s="237"/>
      <c r="F319" s="237"/>
      <c r="G319" s="237"/>
      <c r="H319" s="238"/>
      <c r="I319" s="238"/>
      <c r="J319" s="239"/>
      <c r="K319" s="240">
        <v>7.7499999999999999E-2</v>
      </c>
      <c r="L319" s="63">
        <v>7.4999999999999997E-2</v>
      </c>
      <c r="M319" s="241">
        <v>0.9</v>
      </c>
      <c r="N319" s="242">
        <v>0</v>
      </c>
      <c r="O319" s="242">
        <v>2</v>
      </c>
      <c r="P319" s="241">
        <v>12</v>
      </c>
      <c r="Q319" s="242"/>
      <c r="R319" s="242"/>
      <c r="S319" s="242"/>
      <c r="T319" s="242"/>
      <c r="U319" s="243"/>
      <c r="V319" s="242"/>
      <c r="W319" s="241"/>
      <c r="X319" s="242"/>
      <c r="Y319" s="242"/>
      <c r="Z319" s="244"/>
      <c r="AA319" s="244"/>
      <c r="AB319" s="244"/>
      <c r="AC319" s="244"/>
      <c r="AD319" s="244"/>
      <c r="AE319" s="135"/>
      <c r="AF319" s="135"/>
      <c r="AG319" s="135"/>
      <c r="AH319" s="70"/>
      <c r="AI319" s="70"/>
      <c r="AJ319" s="70"/>
      <c r="AK319" s="70"/>
      <c r="AL319" s="70"/>
      <c r="AM319" s="70"/>
      <c r="AN319" s="70"/>
      <c r="AO319" s="70"/>
      <c r="AP319" s="70"/>
      <c r="AQ319" s="70"/>
      <c r="AR319" s="70"/>
      <c r="AS319" s="69">
        <f t="shared" si="127"/>
        <v>0</v>
      </c>
      <c r="AT319" s="69">
        <f t="shared" si="128"/>
        <v>0</v>
      </c>
      <c r="AU319" s="181"/>
      <c r="AV319" s="181"/>
      <c r="AW319" s="181"/>
      <c r="AX319" s="182"/>
      <c r="AY319" s="182"/>
      <c r="AZ319" s="182"/>
      <c r="BA319" s="182"/>
      <c r="BB319" s="108"/>
      <c r="BC319" s="108"/>
      <c r="BD319" s="183"/>
      <c r="BE319" s="183"/>
      <c r="BF319" s="183"/>
      <c r="BG319" s="110"/>
      <c r="BH319" s="110"/>
      <c r="BI319" s="78">
        <f t="shared" si="129"/>
        <v>0</v>
      </c>
      <c r="BJ319" s="79">
        <f t="shared" si="130"/>
        <v>0</v>
      </c>
      <c r="BK319" s="79"/>
      <c r="BL319" s="79">
        <v>20000000</v>
      </c>
      <c r="BM319" s="293" t="s">
        <v>446</v>
      </c>
      <c r="BN319" s="56" t="s">
        <v>76</v>
      </c>
    </row>
    <row r="320" spans="1:67" ht="38.25" hidden="1">
      <c r="A320" s="236"/>
      <c r="B320" s="117" t="s">
        <v>443</v>
      </c>
      <c r="C320" s="118" t="s">
        <v>444</v>
      </c>
      <c r="D320" s="117" t="s">
        <v>298</v>
      </c>
      <c r="E320" s="237"/>
      <c r="F320" s="237"/>
      <c r="G320" s="237"/>
      <c r="H320" s="238"/>
      <c r="I320" s="238"/>
      <c r="J320" s="239"/>
      <c r="K320" s="240">
        <v>7.7499999999999999E-2</v>
      </c>
      <c r="L320" s="63">
        <v>7.4999999999999997E-2</v>
      </c>
      <c r="M320" s="241">
        <v>0.9</v>
      </c>
      <c r="N320" s="242">
        <v>0</v>
      </c>
      <c r="O320" s="242">
        <v>1</v>
      </c>
      <c r="P320" s="241">
        <v>12</v>
      </c>
      <c r="Q320" s="242"/>
      <c r="R320" s="242"/>
      <c r="S320" s="242"/>
      <c r="T320" s="242"/>
      <c r="U320" s="243"/>
      <c r="V320" s="242"/>
      <c r="W320" s="241"/>
      <c r="X320" s="242"/>
      <c r="Y320" s="242"/>
      <c r="Z320" s="244"/>
      <c r="AA320" s="244"/>
      <c r="AB320" s="244"/>
      <c r="AC320" s="244"/>
      <c r="AD320" s="244"/>
      <c r="AE320" s="135"/>
      <c r="AF320" s="135"/>
      <c r="AG320" s="135"/>
      <c r="AH320" s="70"/>
      <c r="AI320" s="70"/>
      <c r="AJ320" s="70"/>
      <c r="AK320" s="70"/>
      <c r="AL320" s="70"/>
      <c r="AM320" s="70"/>
      <c r="AN320" s="70"/>
      <c r="AO320" s="70"/>
      <c r="AP320" s="70"/>
      <c r="AQ320" s="70"/>
      <c r="AR320" s="70"/>
      <c r="AS320" s="69">
        <f t="shared" si="127"/>
        <v>0</v>
      </c>
      <c r="AT320" s="69">
        <f t="shared" si="128"/>
        <v>0</v>
      </c>
      <c r="AU320" s="181"/>
      <c r="AV320" s="181"/>
      <c r="AW320" s="181"/>
      <c r="AX320" s="182"/>
      <c r="AY320" s="182"/>
      <c r="AZ320" s="182"/>
      <c r="BA320" s="182"/>
      <c r="BB320" s="108"/>
      <c r="BC320" s="108"/>
      <c r="BD320" s="183"/>
      <c r="BE320" s="183"/>
      <c r="BF320" s="183"/>
      <c r="BG320" s="110"/>
      <c r="BH320" s="110"/>
      <c r="BI320" s="78">
        <f t="shared" si="129"/>
        <v>0</v>
      </c>
      <c r="BJ320" s="79">
        <f t="shared" si="130"/>
        <v>0</v>
      </c>
      <c r="BK320" s="79"/>
      <c r="BL320" s="79">
        <v>25000000</v>
      </c>
      <c r="BM320" s="293" t="s">
        <v>446</v>
      </c>
      <c r="BN320" s="56" t="s">
        <v>76</v>
      </c>
    </row>
    <row r="321" spans="1:66" s="112" customFormat="1">
      <c r="A321" s="84">
        <f>A318+1</f>
        <v>234</v>
      </c>
      <c r="B321" s="85" t="s">
        <v>447</v>
      </c>
      <c r="C321" s="86" t="s">
        <v>448</v>
      </c>
      <c r="D321" s="85" t="s">
        <v>111</v>
      </c>
      <c r="E321" s="87" t="s">
        <v>98</v>
      </c>
      <c r="F321" s="89"/>
      <c r="G321" s="89"/>
      <c r="H321" s="90">
        <v>43497</v>
      </c>
      <c r="I321" s="90">
        <v>43497</v>
      </c>
      <c r="J321" s="91">
        <v>5000000</v>
      </c>
      <c r="K321" s="92">
        <v>7.7499999999999999E-2</v>
      </c>
      <c r="L321" s="63">
        <v>7.4999999999999997E-2</v>
      </c>
      <c r="M321" s="93">
        <v>0.9</v>
      </c>
      <c r="N321" s="94">
        <v>10</v>
      </c>
      <c r="O321" s="94">
        <v>2</v>
      </c>
      <c r="P321" s="93">
        <v>12</v>
      </c>
      <c r="Q321" s="95">
        <f t="shared" ref="Q321:Q327" si="152">J321*K321*M321*N321/P321</f>
        <v>290625</v>
      </c>
      <c r="R321" s="94">
        <f t="shared" si="125"/>
        <v>3033280.3294915948</v>
      </c>
      <c r="S321" s="95">
        <f t="shared" ref="S321:S327" si="153">R321*K321*M321*N321/P321</f>
        <v>176309.41915169894</v>
      </c>
      <c r="T321" s="95">
        <f t="shared" si="126"/>
        <v>114315.58084830106</v>
      </c>
      <c r="U321" s="96">
        <v>0.606656065898319</v>
      </c>
      <c r="V321" s="254">
        <v>5000000</v>
      </c>
      <c r="W321" s="122">
        <f>290625-W323-W324-61422.76</f>
        <v>176309.41999999998</v>
      </c>
      <c r="X321" s="95">
        <f t="shared" si="123"/>
        <v>-1966719.6705084052</v>
      </c>
      <c r="Y321" s="95">
        <f t="shared" si="123"/>
        <v>-8.4830104606226087E-4</v>
      </c>
      <c r="Z321" s="98">
        <f t="shared" si="124"/>
        <v>-1966719.6705084052</v>
      </c>
      <c r="AA321" s="98">
        <f t="shared" si="124"/>
        <v>-8.4830104606226087E-4</v>
      </c>
      <c r="AB321" s="98"/>
      <c r="AC321" s="98"/>
      <c r="AD321" s="98">
        <f t="shared" si="131"/>
        <v>-8.4830104606226087E-4</v>
      </c>
      <c r="AE321" s="100">
        <v>1673216.7248815082</v>
      </c>
      <c r="AF321" s="100">
        <f t="shared" ref="AF321:AF326" si="154">AD321/K321/M321/9*P321</f>
        <v>-1.6216029554356241E-2</v>
      </c>
      <c r="AG321" s="100"/>
      <c r="AH321" s="101"/>
      <c r="AI321" s="101"/>
      <c r="AJ321" s="101"/>
      <c r="AK321" s="101"/>
      <c r="AL321" s="101"/>
      <c r="AM321" s="104">
        <f t="shared" si="121"/>
        <v>-8.4830104606226087E-4</v>
      </c>
      <c r="AN321" s="104"/>
      <c r="AO321" s="104"/>
      <c r="AP321" s="104"/>
      <c r="AQ321" s="104">
        <f t="shared" si="119"/>
        <v>-8.4830104606226087E-4</v>
      </c>
      <c r="AR321" s="104"/>
      <c r="AS321" s="104">
        <f t="shared" si="127"/>
        <v>-8.4830104606226087E-4</v>
      </c>
      <c r="AT321" s="104">
        <f t="shared" si="128"/>
        <v>0</v>
      </c>
      <c r="AU321" s="105">
        <f t="shared" ref="AU321:AU327" si="155">AD321/K321/M321/8*P321</f>
        <v>-1.8243033248650772E-2</v>
      </c>
      <c r="AV321" s="106"/>
      <c r="AW321" s="106"/>
      <c r="AX321" s="107"/>
      <c r="AY321" s="107"/>
      <c r="AZ321" s="107"/>
      <c r="BA321" s="107"/>
      <c r="BB321" s="108">
        <f t="shared" si="122"/>
        <v>-1.8243033248650772E-2</v>
      </c>
      <c r="BC321" s="108">
        <f t="shared" ref="BC321:BC327" si="156">AM321/K321/M321/7*P321</f>
        <v>-2.0849180855600884E-2</v>
      </c>
      <c r="BD321" s="109"/>
      <c r="BE321" s="109"/>
      <c r="BF321" s="109"/>
      <c r="BG321" s="110">
        <f t="shared" ref="BG321:BG327" si="157">AQ321/K321/M321/6*P321</f>
        <v>-2.4324044331534362E-2</v>
      </c>
      <c r="BH321" s="110"/>
      <c r="BI321" s="110">
        <f t="shared" si="129"/>
        <v>-8.4830104606226087E-4</v>
      </c>
      <c r="BJ321" s="116">
        <f t="shared" si="130"/>
        <v>-3.7702268713878259E-2</v>
      </c>
      <c r="BK321" s="116"/>
      <c r="BL321" s="79"/>
      <c r="BM321" s="111"/>
    </row>
    <row r="322" spans="1:66" ht="25.5">
      <c r="A322" s="236">
        <f t="shared" si="120"/>
        <v>235</v>
      </c>
      <c r="B322" s="237" t="s">
        <v>447</v>
      </c>
      <c r="C322" s="253" t="s">
        <v>448</v>
      </c>
      <c r="D322" s="237" t="s">
        <v>64</v>
      </c>
      <c r="E322" s="237" t="s">
        <v>98</v>
      </c>
      <c r="F322" s="237"/>
      <c r="G322" s="237"/>
      <c r="H322" s="238">
        <v>43525</v>
      </c>
      <c r="I322" s="238" t="s">
        <v>375</v>
      </c>
      <c r="J322" s="239">
        <v>5000000</v>
      </c>
      <c r="K322" s="240">
        <v>7.7499999999999999E-2</v>
      </c>
      <c r="L322" s="63">
        <v>7.4999999999999997E-2</v>
      </c>
      <c r="M322" s="241">
        <v>0.9</v>
      </c>
      <c r="N322" s="242">
        <v>9</v>
      </c>
      <c r="O322" s="242">
        <v>4</v>
      </c>
      <c r="P322" s="241">
        <v>12</v>
      </c>
      <c r="Q322" s="242">
        <f t="shared" si="152"/>
        <v>261562.5</v>
      </c>
      <c r="R322" s="242">
        <f t="shared" si="125"/>
        <v>3033280.3294915948</v>
      </c>
      <c r="S322" s="242">
        <f t="shared" si="153"/>
        <v>158678.47723652906</v>
      </c>
      <c r="T322" s="242">
        <f t="shared" si="126"/>
        <v>102884.02276347094</v>
      </c>
      <c r="U322" s="243">
        <v>0.606656065898319</v>
      </c>
      <c r="V322" s="242"/>
      <c r="W322" s="241">
        <v>61422.76</v>
      </c>
      <c r="X322" s="242">
        <f t="shared" si="123"/>
        <v>3033280.3294915948</v>
      </c>
      <c r="Y322" s="242">
        <f t="shared" si="123"/>
        <v>97255.717236529046</v>
      </c>
      <c r="Z322" s="244">
        <f t="shared" si="124"/>
        <v>3033280.3294915948</v>
      </c>
      <c r="AA322" s="244">
        <f t="shared" si="124"/>
        <v>97255.717236529046</v>
      </c>
      <c r="AB322" s="244"/>
      <c r="AC322" s="244"/>
      <c r="AD322" s="244">
        <f t="shared" si="131"/>
        <v>97255.717236529046</v>
      </c>
      <c r="AE322" s="246">
        <v>0</v>
      </c>
      <c r="AF322" s="246">
        <f t="shared" si="154"/>
        <v>1859129.6006982853</v>
      </c>
      <c r="AG322" s="246"/>
      <c r="AH322" s="247"/>
      <c r="AI322" s="247"/>
      <c r="AJ322" s="70">
        <v>85036.88</v>
      </c>
      <c r="AK322" s="70"/>
      <c r="AL322" s="71"/>
      <c r="AM322" s="69">
        <f t="shared" si="121"/>
        <v>12218.837236529042</v>
      </c>
      <c r="AN322" s="69"/>
      <c r="AO322" s="69"/>
      <c r="AP322" s="69"/>
      <c r="AQ322" s="69">
        <f t="shared" si="119"/>
        <v>12218.837236529042</v>
      </c>
      <c r="AR322" s="69"/>
      <c r="AS322" s="69">
        <f t="shared" si="127"/>
        <v>12218.837236529042</v>
      </c>
      <c r="AT322" s="69">
        <f t="shared" si="128"/>
        <v>12218.837175000001</v>
      </c>
      <c r="AU322" s="248">
        <f t="shared" si="155"/>
        <v>2091520.8007855709</v>
      </c>
      <c r="AV322" s="248"/>
      <c r="AW322" s="248"/>
      <c r="AX322" s="249"/>
      <c r="AY322" s="136">
        <v>2090000</v>
      </c>
      <c r="AZ322" s="136"/>
      <c r="BA322" s="250"/>
      <c r="BB322" s="76">
        <f t="shared" si="122"/>
        <v>1520.8007855708711</v>
      </c>
      <c r="BC322" s="76">
        <f t="shared" si="156"/>
        <v>300309.36372421606</v>
      </c>
      <c r="BD322" s="251"/>
      <c r="BE322" s="251"/>
      <c r="BF322" s="251"/>
      <c r="BG322" s="78">
        <f t="shared" si="157"/>
        <v>350360.92434491875</v>
      </c>
      <c r="BH322" s="78"/>
      <c r="BI322" s="78">
        <f t="shared" si="129"/>
        <v>6.1529040976893157E-5</v>
      </c>
      <c r="BJ322" s="79">
        <f t="shared" si="130"/>
        <v>543059.43273462413</v>
      </c>
      <c r="BK322" s="79">
        <v>543059.43000000005</v>
      </c>
      <c r="BL322" s="79"/>
      <c r="BM322" s="235" t="s">
        <v>449</v>
      </c>
      <c r="BN322" s="81" t="s">
        <v>64</v>
      </c>
    </row>
    <row r="323" spans="1:66" s="112" customFormat="1" ht="38.25">
      <c r="A323" s="84">
        <f t="shared" si="120"/>
        <v>236</v>
      </c>
      <c r="B323" s="85" t="s">
        <v>447</v>
      </c>
      <c r="C323" s="86" t="s">
        <v>448</v>
      </c>
      <c r="D323" s="85" t="s">
        <v>111</v>
      </c>
      <c r="E323" s="87" t="s">
        <v>98</v>
      </c>
      <c r="F323" s="89"/>
      <c r="G323" s="89"/>
      <c r="H323" s="90">
        <v>43739</v>
      </c>
      <c r="I323" s="90">
        <v>43739</v>
      </c>
      <c r="J323" s="91">
        <v>5000000</v>
      </c>
      <c r="K323" s="92">
        <v>7.7499999999999999E-2</v>
      </c>
      <c r="L323" s="63">
        <v>7.4999999999999997E-2</v>
      </c>
      <c r="M323" s="93">
        <v>0.9</v>
      </c>
      <c r="N323" s="94">
        <v>2</v>
      </c>
      <c r="O323" s="94">
        <v>2</v>
      </c>
      <c r="P323" s="93">
        <v>12</v>
      </c>
      <c r="Q323" s="95">
        <f t="shared" si="152"/>
        <v>58125</v>
      </c>
      <c r="R323" s="94">
        <f t="shared" si="125"/>
        <v>3033280.3294915948</v>
      </c>
      <c r="S323" s="95">
        <f t="shared" si="153"/>
        <v>35261.883830339786</v>
      </c>
      <c r="T323" s="95">
        <f t="shared" si="126"/>
        <v>22863.116169660214</v>
      </c>
      <c r="U323" s="96">
        <v>0.606656065898319</v>
      </c>
      <c r="V323" s="94"/>
      <c r="W323" s="97">
        <v>35261.879999999997</v>
      </c>
      <c r="X323" s="95">
        <f t="shared" si="123"/>
        <v>3033280.3294915948</v>
      </c>
      <c r="Y323" s="95">
        <f t="shared" si="123"/>
        <v>3.830339788692072E-3</v>
      </c>
      <c r="Z323" s="98">
        <f t="shared" si="124"/>
        <v>3033280.3294915948</v>
      </c>
      <c r="AA323" s="98">
        <f t="shared" si="124"/>
        <v>3.830339788692072E-3</v>
      </c>
      <c r="AB323" s="98"/>
      <c r="AC323" s="98"/>
      <c r="AD323" s="98">
        <f t="shared" si="131"/>
        <v>3.830339788692072E-3</v>
      </c>
      <c r="AE323" s="100">
        <v>0</v>
      </c>
      <c r="AF323" s="100">
        <f t="shared" si="154"/>
        <v>7.3220354383599945E-2</v>
      </c>
      <c r="AG323" s="100"/>
      <c r="AH323" s="101"/>
      <c r="AI323" s="101"/>
      <c r="AJ323" s="101"/>
      <c r="AK323" s="101"/>
      <c r="AL323" s="101"/>
      <c r="AM323" s="104">
        <f t="shared" si="121"/>
        <v>3.830339788692072E-3</v>
      </c>
      <c r="AN323" s="104"/>
      <c r="AO323" s="104"/>
      <c r="AP323" s="104"/>
      <c r="AQ323" s="104">
        <f t="shared" si="119"/>
        <v>3.830339788692072E-3</v>
      </c>
      <c r="AR323" s="104"/>
      <c r="AS323" s="104">
        <f t="shared" si="127"/>
        <v>3.830339788692072E-3</v>
      </c>
      <c r="AT323" s="104">
        <f t="shared" si="128"/>
        <v>0</v>
      </c>
      <c r="AU323" s="181">
        <f t="shared" si="155"/>
        <v>8.2372898681549941E-2</v>
      </c>
      <c r="AV323" s="106"/>
      <c r="AW323" s="106"/>
      <c r="AX323" s="107"/>
      <c r="AY323" s="107"/>
      <c r="AZ323" s="107"/>
      <c r="BA323" s="107"/>
      <c r="BB323" s="108">
        <f t="shared" si="122"/>
        <v>8.2372898681549941E-2</v>
      </c>
      <c r="BC323" s="108">
        <f t="shared" si="156"/>
        <v>9.4140455636057066E-2</v>
      </c>
      <c r="BD323" s="109"/>
      <c r="BE323" s="109"/>
      <c r="BF323" s="109"/>
      <c r="BG323" s="110">
        <f t="shared" si="157"/>
        <v>0.10983053157539992</v>
      </c>
      <c r="BH323" s="110"/>
      <c r="BI323" s="110">
        <f t="shared" si="129"/>
        <v>3.830339788692072E-3</v>
      </c>
      <c r="BJ323" s="116">
        <f t="shared" si="130"/>
        <v>0.17023732394186986</v>
      </c>
      <c r="BK323" s="116"/>
      <c r="BL323" s="79">
        <v>5000000</v>
      </c>
      <c r="BM323" s="111" t="s">
        <v>72</v>
      </c>
      <c r="BN323" s="153" t="s">
        <v>76</v>
      </c>
    </row>
    <row r="324" spans="1:66" s="112" customFormat="1" ht="38.25">
      <c r="A324" s="84">
        <f t="shared" ref="A324:A327" si="158">A323+1</f>
        <v>237</v>
      </c>
      <c r="B324" s="85" t="s">
        <v>447</v>
      </c>
      <c r="C324" s="86" t="s">
        <v>448</v>
      </c>
      <c r="D324" s="85" t="s">
        <v>111</v>
      </c>
      <c r="E324" s="87" t="s">
        <v>98</v>
      </c>
      <c r="F324" s="89"/>
      <c r="G324" s="89"/>
      <c r="H324" s="90">
        <v>43770</v>
      </c>
      <c r="I324" s="90">
        <v>43770</v>
      </c>
      <c r="J324" s="91">
        <v>5000000</v>
      </c>
      <c r="K324" s="92">
        <v>7.7499999999999999E-2</v>
      </c>
      <c r="L324" s="63">
        <v>7.4999999999999997E-2</v>
      </c>
      <c r="M324" s="93">
        <v>0.9</v>
      </c>
      <c r="N324" s="94">
        <v>1</v>
      </c>
      <c r="O324" s="94">
        <v>1</v>
      </c>
      <c r="P324" s="93">
        <v>12</v>
      </c>
      <c r="Q324" s="95">
        <f t="shared" si="152"/>
        <v>29062.5</v>
      </c>
      <c r="R324" s="94">
        <f t="shared" si="125"/>
        <v>3033280.3294915948</v>
      </c>
      <c r="S324" s="95">
        <f t="shared" si="153"/>
        <v>17630.941915169893</v>
      </c>
      <c r="T324" s="95">
        <f t="shared" si="126"/>
        <v>11431.558084830107</v>
      </c>
      <c r="U324" s="96">
        <v>0.606656065898319</v>
      </c>
      <c r="V324" s="94"/>
      <c r="W324" s="97">
        <v>17630.939999999999</v>
      </c>
      <c r="X324" s="95">
        <f t="shared" si="123"/>
        <v>3033280.3294915948</v>
      </c>
      <c r="Y324" s="95">
        <f t="shared" si="123"/>
        <v>1.915169894346036E-3</v>
      </c>
      <c r="Z324" s="98">
        <f t="shared" si="124"/>
        <v>3033280.3294915948</v>
      </c>
      <c r="AA324" s="98">
        <f t="shared" si="124"/>
        <v>1.915169894346036E-3</v>
      </c>
      <c r="AB324" s="98"/>
      <c r="AC324" s="98"/>
      <c r="AD324" s="98">
        <f t="shared" si="131"/>
        <v>1.915169894346036E-3</v>
      </c>
      <c r="AE324" s="100">
        <v>0</v>
      </c>
      <c r="AF324" s="100">
        <f t="shared" si="154"/>
        <v>3.6610177191799972E-2</v>
      </c>
      <c r="AG324" s="100"/>
      <c r="AH324" s="101"/>
      <c r="AI324" s="101"/>
      <c r="AJ324" s="101"/>
      <c r="AK324" s="101"/>
      <c r="AL324" s="101"/>
      <c r="AM324" s="104">
        <f t="shared" si="121"/>
        <v>1.915169894346036E-3</v>
      </c>
      <c r="AN324" s="104"/>
      <c r="AO324" s="104"/>
      <c r="AP324" s="104"/>
      <c r="AQ324" s="104">
        <f t="shared" si="119"/>
        <v>1.915169894346036E-3</v>
      </c>
      <c r="AR324" s="104"/>
      <c r="AS324" s="104">
        <f t="shared" si="127"/>
        <v>1.915169894346036E-3</v>
      </c>
      <c r="AT324" s="104">
        <f t="shared" si="128"/>
        <v>0</v>
      </c>
      <c r="AU324" s="181">
        <f t="shared" si="155"/>
        <v>4.1186449340774971E-2</v>
      </c>
      <c r="AV324" s="106"/>
      <c r="AW324" s="106"/>
      <c r="AX324" s="107"/>
      <c r="AY324" s="107"/>
      <c r="AZ324" s="107"/>
      <c r="BA324" s="107"/>
      <c r="BB324" s="108">
        <f t="shared" si="122"/>
        <v>4.1186449340774971E-2</v>
      </c>
      <c r="BC324" s="108">
        <f t="shared" si="156"/>
        <v>4.7070227818028533E-2</v>
      </c>
      <c r="BD324" s="109"/>
      <c r="BE324" s="109"/>
      <c r="BF324" s="109"/>
      <c r="BG324" s="110">
        <f t="shared" si="157"/>
        <v>5.4915265787699959E-2</v>
      </c>
      <c r="BH324" s="110"/>
      <c r="BI324" s="110">
        <f t="shared" si="129"/>
        <v>1.915169894346036E-3</v>
      </c>
      <c r="BJ324" s="116">
        <f t="shared" si="130"/>
        <v>8.5118661970934928E-2</v>
      </c>
      <c r="BK324" s="116"/>
      <c r="BL324" s="79">
        <v>5000000</v>
      </c>
      <c r="BM324" s="111" t="s">
        <v>72</v>
      </c>
      <c r="BN324" s="153" t="s">
        <v>76</v>
      </c>
    </row>
    <row r="325" spans="1:66" s="112" customFormat="1">
      <c r="A325" s="84">
        <f t="shared" si="158"/>
        <v>238</v>
      </c>
      <c r="B325" s="85" t="s">
        <v>447</v>
      </c>
      <c r="C325" s="86" t="s">
        <v>448</v>
      </c>
      <c r="D325" s="85" t="s">
        <v>111</v>
      </c>
      <c r="E325" s="87" t="s">
        <v>98</v>
      </c>
      <c r="F325" s="89"/>
      <c r="G325" s="89"/>
      <c r="H325" s="90">
        <v>43800</v>
      </c>
      <c r="I325" s="90">
        <v>43800</v>
      </c>
      <c r="J325" s="91">
        <v>5000000</v>
      </c>
      <c r="K325" s="92">
        <v>7.7499999999999999E-2</v>
      </c>
      <c r="L325" s="63">
        <v>7.4999999999999997E-2</v>
      </c>
      <c r="M325" s="93">
        <v>0.9</v>
      </c>
      <c r="N325" s="94">
        <v>0</v>
      </c>
      <c r="O325" s="94">
        <v>0</v>
      </c>
      <c r="P325" s="93">
        <v>12</v>
      </c>
      <c r="Q325" s="95">
        <f t="shared" si="152"/>
        <v>0</v>
      </c>
      <c r="R325" s="94">
        <f t="shared" si="125"/>
        <v>3033280.3294915948</v>
      </c>
      <c r="S325" s="95">
        <f t="shared" si="153"/>
        <v>0</v>
      </c>
      <c r="T325" s="95">
        <f t="shared" si="126"/>
        <v>0</v>
      </c>
      <c r="U325" s="96">
        <v>0.606656065898319</v>
      </c>
      <c r="V325" s="94"/>
      <c r="W325" s="97"/>
      <c r="X325" s="95">
        <f t="shared" si="123"/>
        <v>3033280.3294915948</v>
      </c>
      <c r="Y325" s="95">
        <f t="shared" si="123"/>
        <v>0</v>
      </c>
      <c r="Z325" s="98">
        <f t="shared" si="124"/>
        <v>3033280.3294915948</v>
      </c>
      <c r="AA325" s="98">
        <f t="shared" si="124"/>
        <v>0</v>
      </c>
      <c r="AB325" s="98"/>
      <c r="AC325" s="98"/>
      <c r="AD325" s="98">
        <f t="shared" si="131"/>
        <v>0</v>
      </c>
      <c r="AE325" s="100">
        <v>0</v>
      </c>
      <c r="AF325" s="100">
        <f t="shared" si="154"/>
        <v>0</v>
      </c>
      <c r="AG325" s="100"/>
      <c r="AH325" s="101"/>
      <c r="AI325" s="101"/>
      <c r="AJ325" s="101"/>
      <c r="AK325" s="101"/>
      <c r="AL325" s="101"/>
      <c r="AM325" s="104">
        <f t="shared" si="121"/>
        <v>0</v>
      </c>
      <c r="AN325" s="104"/>
      <c r="AO325" s="104"/>
      <c r="AP325" s="104"/>
      <c r="AQ325" s="104">
        <f t="shared" si="119"/>
        <v>0</v>
      </c>
      <c r="AR325" s="104"/>
      <c r="AS325" s="104">
        <f t="shared" si="127"/>
        <v>0</v>
      </c>
      <c r="AT325" s="104">
        <f t="shared" si="128"/>
        <v>0</v>
      </c>
      <c r="AU325" s="181">
        <f t="shared" si="155"/>
        <v>0</v>
      </c>
      <c r="AV325" s="106"/>
      <c r="AW325" s="106"/>
      <c r="AX325" s="107"/>
      <c r="AY325" s="107"/>
      <c r="AZ325" s="107"/>
      <c r="BA325" s="107"/>
      <c r="BB325" s="108">
        <f t="shared" si="122"/>
        <v>0</v>
      </c>
      <c r="BC325" s="108">
        <f t="shared" si="156"/>
        <v>0</v>
      </c>
      <c r="BD325" s="109"/>
      <c r="BE325" s="109"/>
      <c r="BF325" s="109"/>
      <c r="BG325" s="110">
        <f t="shared" si="157"/>
        <v>0</v>
      </c>
      <c r="BH325" s="110"/>
      <c r="BI325" s="110">
        <f t="shared" si="129"/>
        <v>0</v>
      </c>
      <c r="BJ325" s="116">
        <f t="shared" si="130"/>
        <v>0</v>
      </c>
      <c r="BK325" s="116"/>
      <c r="BL325" s="79">
        <v>5000000</v>
      </c>
      <c r="BM325" s="111"/>
      <c r="BN325" s="127"/>
    </row>
    <row r="326" spans="1:66" s="352" customFormat="1" ht="25.5">
      <c r="A326" s="84">
        <f t="shared" si="158"/>
        <v>239</v>
      </c>
      <c r="B326" s="85" t="s">
        <v>450</v>
      </c>
      <c r="C326" s="86" t="s">
        <v>451</v>
      </c>
      <c r="D326" s="85" t="s">
        <v>64</v>
      </c>
      <c r="E326" s="87" t="s">
        <v>98</v>
      </c>
      <c r="F326" s="85"/>
      <c r="G326" s="85"/>
      <c r="H326" s="90">
        <v>43466</v>
      </c>
      <c r="I326" s="90">
        <v>43466</v>
      </c>
      <c r="J326" s="91">
        <v>22000000</v>
      </c>
      <c r="K326" s="120">
        <v>7.7499999999999999E-2</v>
      </c>
      <c r="L326" s="121">
        <v>7.4999999999999997E-2</v>
      </c>
      <c r="M326" s="97">
        <v>0.9</v>
      </c>
      <c r="N326" s="95">
        <v>10</v>
      </c>
      <c r="O326" s="95">
        <v>10</v>
      </c>
      <c r="P326" s="97">
        <v>12</v>
      </c>
      <c r="Q326" s="95">
        <f t="shared" si="152"/>
        <v>1278750</v>
      </c>
      <c r="R326" s="95">
        <f t="shared" si="125"/>
        <v>13346433.449763019</v>
      </c>
      <c r="S326" s="95">
        <f t="shared" si="153"/>
        <v>775761.44426747551</v>
      </c>
      <c r="T326" s="95">
        <f t="shared" si="126"/>
        <v>502988.55573252449</v>
      </c>
      <c r="U326" s="96">
        <v>0.606656065898319</v>
      </c>
      <c r="V326" s="149">
        <v>13346433.449999999</v>
      </c>
      <c r="W326" s="122">
        <f>V326*K326*M326*O326/P326</f>
        <v>775761.44428124989</v>
      </c>
      <c r="X326" s="95">
        <f t="shared" si="123"/>
        <v>-2.369806170463562E-4</v>
      </c>
      <c r="Y326" s="95">
        <f t="shared" si="123"/>
        <v>-1.3774377293884754E-5</v>
      </c>
      <c r="Z326" s="98">
        <f t="shared" si="124"/>
        <v>-2.369806170463562E-4</v>
      </c>
      <c r="AA326" s="98">
        <f t="shared" si="124"/>
        <v>-1.3774377293884754E-5</v>
      </c>
      <c r="AB326" s="98"/>
      <c r="AC326" s="98"/>
      <c r="AD326" s="98">
        <f t="shared" si="131"/>
        <v>-1.3774377293884754E-5</v>
      </c>
      <c r="AE326" s="100">
        <v>-17773693.759457152</v>
      </c>
      <c r="AF326" s="100">
        <f t="shared" si="154"/>
        <v>-2.6330948232037758E-4</v>
      </c>
      <c r="AG326" s="100"/>
      <c r="AH326" s="101"/>
      <c r="AI326" s="101"/>
      <c r="AJ326" s="101"/>
      <c r="AK326" s="101"/>
      <c r="AL326" s="101"/>
      <c r="AM326" s="104">
        <f t="shared" si="121"/>
        <v>-1.3774377293884754E-5</v>
      </c>
      <c r="AN326" s="104"/>
      <c r="AO326" s="104"/>
      <c r="AP326" s="104"/>
      <c r="AQ326" s="104">
        <f t="shared" si="119"/>
        <v>-1.3774377293884754E-5</v>
      </c>
      <c r="AR326" s="104"/>
      <c r="AS326" s="104">
        <f t="shared" si="127"/>
        <v>-1.3774377293884754E-5</v>
      </c>
      <c r="AT326" s="104">
        <f t="shared" si="128"/>
        <v>0</v>
      </c>
      <c r="AU326" s="105">
        <f t="shared" si="155"/>
        <v>-2.9622316761042481E-4</v>
      </c>
      <c r="AV326" s="106"/>
      <c r="AW326" s="106"/>
      <c r="AX326" s="107"/>
      <c r="AY326" s="107"/>
      <c r="AZ326" s="107"/>
      <c r="BA326" s="107"/>
      <c r="BB326" s="108">
        <f t="shared" si="122"/>
        <v>-2.9622316761042481E-4</v>
      </c>
      <c r="BC326" s="108">
        <f t="shared" si="156"/>
        <v>-3.3854076298334265E-4</v>
      </c>
      <c r="BD326" s="109"/>
      <c r="BE326" s="109"/>
      <c r="BF326" s="109"/>
      <c r="BG326" s="110">
        <f t="shared" si="157"/>
        <v>-3.9496422348056634E-4</v>
      </c>
      <c r="BH326" s="110"/>
      <c r="BI326" s="110">
        <f t="shared" si="129"/>
        <v>-1.3774377293884754E-5</v>
      </c>
      <c r="BJ326" s="123">
        <f t="shared" si="130"/>
        <v>-6.1219454639487806E-4</v>
      </c>
      <c r="BK326" s="116"/>
      <c r="BL326" s="116"/>
      <c r="BM326" s="351"/>
    </row>
    <row r="327" spans="1:66" s="352" customFormat="1" ht="25.5">
      <c r="A327" s="84">
        <f t="shared" si="158"/>
        <v>240</v>
      </c>
      <c r="B327" s="85" t="s">
        <v>450</v>
      </c>
      <c r="C327" s="86" t="s">
        <v>451</v>
      </c>
      <c r="D327" s="85" t="s">
        <v>64</v>
      </c>
      <c r="E327" s="87" t="s">
        <v>98</v>
      </c>
      <c r="F327" s="85"/>
      <c r="G327" s="85"/>
      <c r="H327" s="90">
        <v>43497</v>
      </c>
      <c r="I327" s="90">
        <v>43497</v>
      </c>
      <c r="J327" s="91">
        <v>12000000</v>
      </c>
      <c r="K327" s="120">
        <v>7.7499999999999999E-2</v>
      </c>
      <c r="L327" s="121">
        <v>7.4999999999999997E-2</v>
      </c>
      <c r="M327" s="97">
        <v>0.9</v>
      </c>
      <c r="N327" s="95">
        <v>10</v>
      </c>
      <c r="O327" s="95"/>
      <c r="P327" s="97">
        <v>12</v>
      </c>
      <c r="Q327" s="95">
        <f t="shared" si="152"/>
        <v>697500</v>
      </c>
      <c r="R327" s="95">
        <f t="shared" si="125"/>
        <v>7279872.7907798281</v>
      </c>
      <c r="S327" s="95">
        <f t="shared" si="153"/>
        <v>423142.60596407746</v>
      </c>
      <c r="T327" s="95">
        <f t="shared" si="126"/>
        <v>274357.39403592254</v>
      </c>
      <c r="U327" s="96">
        <v>0.606656065898319</v>
      </c>
      <c r="V327" s="415">
        <f>22000000-V326</f>
        <v>8653566.5500000007</v>
      </c>
      <c r="W327" s="318">
        <f>V327*K327*M327*N327/P327</f>
        <v>502988.55571875005</v>
      </c>
      <c r="X327" s="95">
        <f t="shared" si="123"/>
        <v>-1373693.7592201727</v>
      </c>
      <c r="Y327" s="95">
        <f>S327-W327</f>
        <v>-79845.949754672591</v>
      </c>
      <c r="Z327" s="98">
        <f t="shared" si="124"/>
        <v>-1373693.7592201727</v>
      </c>
      <c r="AA327" s="98">
        <f>SUM(Y327)</f>
        <v>-79845.949754672591</v>
      </c>
      <c r="AB327" s="98"/>
      <c r="AC327" s="98"/>
      <c r="AD327" s="98">
        <f>AA327-AB327-AC327</f>
        <v>-79845.949754672591</v>
      </c>
      <c r="AE327" s="100">
        <v>0</v>
      </c>
      <c r="AF327" s="100">
        <f>AA327/K327/M327/10*P327</f>
        <v>-1373693.7592201736</v>
      </c>
      <c r="AG327" s="100"/>
      <c r="AH327" s="101"/>
      <c r="AI327" s="101"/>
      <c r="AJ327" s="101"/>
      <c r="AK327" s="101"/>
      <c r="AL327" s="101"/>
      <c r="AM327" s="104">
        <f>AD327+AH327-AG327-AI327-AJ327-AK327-AL327</f>
        <v>-79845.949754672591</v>
      </c>
      <c r="AN327" s="104"/>
      <c r="AO327" s="104"/>
      <c r="AP327" s="104"/>
      <c r="AQ327" s="104">
        <f>AM327-AN327-AO327-AP327</f>
        <v>-79845.949754672591</v>
      </c>
      <c r="AR327" s="104"/>
      <c r="AS327" s="104">
        <f>AQ327-AR327</f>
        <v>-79845.949754672591</v>
      </c>
      <c r="AT327" s="417">
        <f>AS327</f>
        <v>-79845.949754672591</v>
      </c>
      <c r="AU327" s="105">
        <f t="shared" si="155"/>
        <v>-1717117.199025217</v>
      </c>
      <c r="AV327" s="105"/>
      <c r="AW327" s="105"/>
      <c r="AX327" s="105"/>
      <c r="AY327" s="105"/>
      <c r="AZ327" s="105"/>
      <c r="BA327" s="105"/>
      <c r="BB327" s="418">
        <f t="shared" si="122"/>
        <v>-1717117.199025217</v>
      </c>
      <c r="BC327" s="418">
        <f t="shared" si="156"/>
        <v>-1962419.6560288193</v>
      </c>
      <c r="BD327" s="418"/>
      <c r="BE327" s="418"/>
      <c r="BF327" s="418"/>
      <c r="BG327" s="105">
        <f t="shared" si="157"/>
        <v>-2289489.5987002891</v>
      </c>
      <c r="BH327" s="105"/>
      <c r="BI327" s="105">
        <f t="shared" si="129"/>
        <v>0</v>
      </c>
      <c r="BJ327" s="416">
        <f t="shared" si="130"/>
        <v>-3548708.8779854486</v>
      </c>
      <c r="BK327" s="416">
        <f>AT327/K327/M327/N327*P327</f>
        <v>-1373693.7592201736</v>
      </c>
      <c r="BL327" s="116"/>
      <c r="BM327" s="351"/>
    </row>
    <row r="328" spans="1:66">
      <c r="A328" s="353"/>
      <c r="B328" s="241"/>
      <c r="C328" s="354"/>
      <c r="D328" s="241"/>
      <c r="E328" s="241"/>
      <c r="F328" s="241"/>
      <c r="G328" s="241"/>
      <c r="H328" s="241"/>
      <c r="I328" s="241"/>
      <c r="J328" s="355">
        <f>SUM(J8:J327)</f>
        <v>3882200000</v>
      </c>
      <c r="K328" s="356"/>
      <c r="L328" s="356"/>
      <c r="M328" s="356"/>
      <c r="N328" s="356"/>
      <c r="O328" s="356"/>
      <c r="P328" s="356"/>
      <c r="Q328" s="355">
        <f>SUM(Q8:Q327)</f>
        <v>158019206.25</v>
      </c>
      <c r="R328" s="356">
        <f>SUM(R8:R327)</f>
        <v>2355160179.0304556</v>
      </c>
      <c r="S328" s="356">
        <f>SUM(S8:S327)</f>
        <v>95863310.000000089</v>
      </c>
      <c r="T328" s="356">
        <f>SUM(T8:T327)</f>
        <v>62155896.24999994</v>
      </c>
      <c r="U328" s="357" t="s">
        <v>61</v>
      </c>
      <c r="V328" s="356">
        <f t="shared" ref="V328:BL328" si="159">SUM(V8:V327)</f>
        <v>626840000</v>
      </c>
      <c r="W328" s="356">
        <f t="shared" si="159"/>
        <v>36398290</v>
      </c>
      <c r="X328" s="355">
        <f t="shared" si="159"/>
        <v>1728320179.0304534</v>
      </c>
      <c r="Y328" s="356">
        <f t="shared" si="159"/>
        <v>59465020.000000045</v>
      </c>
      <c r="Z328" s="356">
        <f t="shared" si="159"/>
        <v>1728320179.0304534</v>
      </c>
      <c r="AA328" s="356">
        <f t="shared" si="159"/>
        <v>59465020.00000006</v>
      </c>
      <c r="AB328" s="356">
        <f t="shared" si="159"/>
        <v>34466565.230000004</v>
      </c>
      <c r="AC328" s="356">
        <f t="shared" si="159"/>
        <v>4112188.71</v>
      </c>
      <c r="AD328" s="356">
        <f t="shared" si="159"/>
        <v>18338450.989021912</v>
      </c>
      <c r="AE328" s="356">
        <f t="shared" si="159"/>
        <v>321216518.41163057</v>
      </c>
      <c r="AF328" s="356">
        <f t="shared" si="159"/>
        <v>350708446.05012894</v>
      </c>
      <c r="AG328" s="356">
        <f t="shared" si="159"/>
        <v>675218.13</v>
      </c>
      <c r="AH328" s="356">
        <f t="shared" si="159"/>
        <v>-4129356.95</v>
      </c>
      <c r="AI328" s="356">
        <f t="shared" si="159"/>
        <v>878850</v>
      </c>
      <c r="AJ328" s="358">
        <f t="shared" si="159"/>
        <v>4828460.4799999995</v>
      </c>
      <c r="AK328" s="358">
        <f t="shared" si="159"/>
        <v>27990.78</v>
      </c>
      <c r="AL328" s="358">
        <f t="shared" si="159"/>
        <v>821953.1100000001</v>
      </c>
      <c r="AM328" s="356">
        <f t="shared" si="159"/>
        <v>6976621.5390219036</v>
      </c>
      <c r="AN328" s="356">
        <f t="shared" si="159"/>
        <v>0</v>
      </c>
      <c r="AO328" s="356">
        <f t="shared" si="159"/>
        <v>1913722.15</v>
      </c>
      <c r="AP328" s="356">
        <f t="shared" si="159"/>
        <v>52312.5</v>
      </c>
      <c r="AQ328" s="356">
        <f t="shared" si="159"/>
        <v>4404702.4426726326</v>
      </c>
      <c r="AR328" s="356">
        <f t="shared" si="159"/>
        <v>1926030.14</v>
      </c>
      <c r="AS328" s="356">
        <f t="shared" si="159"/>
        <v>2889404.2718576537</v>
      </c>
      <c r="AT328" s="356">
        <f t="shared" si="159"/>
        <v>10044109.970820324</v>
      </c>
      <c r="AU328" s="356">
        <f t="shared" si="159"/>
        <v>394613635.74849546</v>
      </c>
      <c r="AV328" s="356">
        <f t="shared" si="159"/>
        <v>14520820</v>
      </c>
      <c r="AW328" s="356">
        <f t="shared" si="159"/>
        <v>-88803375.1023729</v>
      </c>
      <c r="AX328" s="356">
        <f t="shared" si="159"/>
        <v>21000000</v>
      </c>
      <c r="AY328" s="356">
        <f t="shared" si="159"/>
        <v>120729999.99999999</v>
      </c>
      <c r="AZ328" s="356">
        <f t="shared" si="159"/>
        <v>930000</v>
      </c>
      <c r="BA328" s="356">
        <f t="shared" si="159"/>
        <v>22479999.995081156</v>
      </c>
      <c r="BB328" s="356">
        <f t="shared" si="159"/>
        <v>126149440.65104164</v>
      </c>
      <c r="BC328" s="356">
        <f t="shared" si="159"/>
        <v>171468424.92219734</v>
      </c>
      <c r="BD328" s="356">
        <f t="shared" si="159"/>
        <v>350000</v>
      </c>
      <c r="BE328" s="356">
        <f t="shared" si="159"/>
        <v>55200000</v>
      </c>
      <c r="BF328" s="356">
        <f t="shared" si="159"/>
        <v>1500000</v>
      </c>
      <c r="BG328" s="356">
        <f t="shared" si="159"/>
        <v>126298310.04079224</v>
      </c>
      <c r="BH328" s="356">
        <f t="shared" si="159"/>
        <v>50188000</v>
      </c>
      <c r="BI328" s="356">
        <f t="shared" si="159"/>
        <v>1920909.1150490036</v>
      </c>
      <c r="BJ328" s="359">
        <f t="shared" si="159"/>
        <v>128417967.63811791</v>
      </c>
      <c r="BK328" s="359">
        <f t="shared" si="159"/>
        <v>448579902.71077979</v>
      </c>
      <c r="BL328" s="359">
        <f t="shared" si="159"/>
        <v>1620588633.8042848</v>
      </c>
      <c r="BM328" s="235"/>
    </row>
    <row r="329" spans="1:66">
      <c r="Z329" s="362"/>
      <c r="AA329" s="362"/>
      <c r="AB329" s="362"/>
      <c r="AC329" s="362"/>
      <c r="AD329" s="362">
        <v>30661060.957519408</v>
      </c>
      <c r="AE329" s="362"/>
      <c r="AF329" s="362"/>
      <c r="AG329" s="362"/>
      <c r="AH329" s="362"/>
      <c r="AI329" s="362"/>
      <c r="AJ329" s="363"/>
      <c r="AK329" s="363"/>
      <c r="AL329" s="364"/>
      <c r="AM329" s="362"/>
      <c r="AN329" s="362"/>
      <c r="AO329" s="362"/>
      <c r="AP329" s="362"/>
      <c r="AQ329" s="362" t="s">
        <v>452</v>
      </c>
      <c r="AR329" s="362" t="s">
        <v>453</v>
      </c>
      <c r="AS329" s="362"/>
      <c r="AT329" s="362"/>
      <c r="BL329" s="365">
        <f>BL23+BL25+BL29+BL32+BL56+BL78+BL82+BL89+BL91+BL95+BL101+BL120+BL133+BL144+BL152+BL153+BL160+BL174+BL181+BL185+BL194+BL196+BL199+BL201+BL203+BL206+BL228+BL229+BL235+BL236+BL237+BL238+BL258+BL262+BL266+BL268+BL271</f>
        <v>724604000</v>
      </c>
    </row>
    <row r="330" spans="1:66">
      <c r="R330" s="10">
        <v>13346433.449999999</v>
      </c>
      <c r="Z330" s="362"/>
      <c r="AA330" s="362"/>
      <c r="AB330" s="362"/>
      <c r="AC330" s="362"/>
      <c r="AD330" s="362"/>
      <c r="AE330" s="362"/>
      <c r="AR330" s="12">
        <f>12098491.57</f>
        <v>12098491.57</v>
      </c>
      <c r="AS330" s="12">
        <f>12098491.57-1926030.14</f>
        <v>10172461.43</v>
      </c>
      <c r="BJ330" s="4" t="s">
        <v>454</v>
      </c>
    </row>
    <row r="331" spans="1:66">
      <c r="AD331" s="362">
        <f>S328-W328-AB328-AC328</f>
        <v>20886266.060000084</v>
      </c>
      <c r="AI331" s="12" t="s">
        <v>455</v>
      </c>
      <c r="AK331" s="366"/>
      <c r="AL331" s="367"/>
      <c r="AM331" s="368"/>
      <c r="AN331" s="368"/>
      <c r="AO331" s="368"/>
      <c r="AP331" s="368"/>
      <c r="AQ331" s="369"/>
      <c r="AR331" s="368" t="e">
        <f>#REF!-AR330</f>
        <v>#REF!</v>
      </c>
      <c r="AS331" s="368"/>
      <c r="AT331" s="368"/>
      <c r="AU331" s="4" t="s">
        <v>456</v>
      </c>
      <c r="BJ331" s="4" t="s">
        <v>457</v>
      </c>
    </row>
    <row r="332" spans="1:66">
      <c r="AC332" s="11" t="s">
        <v>458</v>
      </c>
      <c r="AD332" s="362">
        <f>AD8+AD9+AD10+AD11+AD13+AD15+AD18+AD19+AD20+AD21+AD23+AD24+AD25+AD26+AD30+AD31+AD33+AD36+AD37+AD41+AD42+AD43+AD53+AD57+AD59+AD60+AD61+AD73+AD77+AD78+AD82+AD87+AD88+AD89+AD90+AD96+AD101+AD102+AD103+AD104+AD105+AD106+AD112+AD116+AD118+AD120+AD129+AD130+AD131+AD132+AD133+AD135+AD138+AD139+AD140+AD150+AD151+AD157+AD166+AD167+AD171+AD175+AD177+AD178+AD179+AD180+AD181+AD204+AD205+AD207+AD208+AD210+AD211+AD212+AD213+AD214+AD215+AD216+AD217+AD218+AD219+AD220+AD224+AD250+AD251+AD253+AD254+AD263+AD273+AD274+AD275+AD276+AD277+AD297</f>
        <v>18864579.577179383</v>
      </c>
      <c r="AG332" s="12" t="s">
        <v>459</v>
      </c>
      <c r="AH332" s="362">
        <f>AH8+AH9+AH10+AH11+AH13+AH15+AH18+AH19+AH20+AH21+AH23+AH24+AH25+AH26+AH30+AH31+AH33+AH36+AH37+AH41+AH42+AH43+AH53+AH57+AH59+AH60+AH61+AH73+AH77+AH78+AH82+AH87+AH88+AH89+AH90+AH96+AH101+AH102+AH103+AH104+AH105+AH106+AH112+AH116+AH118+AH120+AH129+AH130+AH131+AH132+AH133+AH135+AH138+AH139+AH140+AH150+AH151+AH157+AH166+AH167+AH171+AH175+AH177+AH178+AH179+AH180+AH181+AH204+AH205+AH207+AH208+AH210+AH211+AH212+AH213+AH214+AH215+AH216+AH217+AH218+AH219+AH220+AH224+AH250+AH251+AH253+AH254+AH263+AH273+AH274+AH275+AH276+AH277+AH297</f>
        <v>-3917785.6500000004</v>
      </c>
      <c r="AI332" s="362"/>
      <c r="AJ332" s="363"/>
      <c r="AK332" s="370"/>
      <c r="AL332" s="371"/>
      <c r="AM332" s="368"/>
      <c r="AN332" s="368"/>
      <c r="AO332" s="368"/>
      <c r="AP332" s="368"/>
      <c r="AQ332" s="368"/>
      <c r="AR332" s="368">
        <v>2270545.9300000002</v>
      </c>
      <c r="AS332" s="368"/>
      <c r="AT332" s="368"/>
      <c r="AV332" s="12"/>
      <c r="AW332" s="12"/>
    </row>
    <row r="333" spans="1:66">
      <c r="AC333" s="11" t="s">
        <v>186</v>
      </c>
      <c r="AD333" s="362">
        <f>AD98+AD147+AD159++AD200+AD202+AD265+AD313+AD317+AD322+AD263+AD36</f>
        <v>3384078.2227284196</v>
      </c>
      <c r="AG333" s="12" t="s">
        <v>222</v>
      </c>
      <c r="AK333" s="366"/>
      <c r="AL333" s="367"/>
      <c r="AM333" s="368"/>
      <c r="AN333" s="368"/>
      <c r="AO333" s="368"/>
      <c r="AP333" s="368"/>
      <c r="AQ333" s="368"/>
      <c r="AR333" s="368"/>
      <c r="AS333" s="368"/>
      <c r="AT333" s="368"/>
      <c r="AU333" s="372"/>
      <c r="AV333" s="373">
        <f>AM333+AU333</f>
        <v>0</v>
      </c>
      <c r="AW333" s="369"/>
      <c r="AX333" s="12"/>
    </row>
    <row r="334" spans="1:66">
      <c r="AC334" s="11" t="s">
        <v>325</v>
      </c>
      <c r="AD334" s="362">
        <f>AD235+AD304+AD305+AD306</f>
        <v>4788320.8572365297</v>
      </c>
      <c r="AG334" s="12" t="s">
        <v>460</v>
      </c>
      <c r="AK334" s="366"/>
      <c r="AL334" s="367"/>
      <c r="AM334" s="368"/>
      <c r="AN334" s="368"/>
      <c r="AO334" s="368"/>
      <c r="AP334" s="368"/>
      <c r="AQ334" s="368"/>
      <c r="AR334" s="368"/>
      <c r="AS334" s="368"/>
      <c r="AT334" s="368"/>
      <c r="AU334" s="372"/>
      <c r="AV334" s="373">
        <f>AM334+AU334</f>
        <v>0</v>
      </c>
      <c r="AW334" s="369"/>
    </row>
    <row r="335" spans="1:66">
      <c r="AC335" s="11" t="s">
        <v>461</v>
      </c>
      <c r="AD335" s="362">
        <f>AD66+AD67+AD68+AD69+AD70+AD71+AD84+AD151+AD154+AD199+AD196+AD316</f>
        <v>1218969.1912707258</v>
      </c>
      <c r="AG335" s="12" t="s">
        <v>462</v>
      </c>
      <c r="AK335" s="366"/>
      <c r="AL335" s="367"/>
      <c r="AM335" s="368"/>
      <c r="AN335" s="368"/>
      <c r="AO335" s="368"/>
      <c r="AP335" s="368"/>
      <c r="AQ335" s="368"/>
      <c r="AR335" s="368"/>
      <c r="AS335" s="368"/>
      <c r="AT335" s="368"/>
      <c r="AU335" s="374"/>
      <c r="AV335" s="373">
        <f>AM335+AU335</f>
        <v>0</v>
      </c>
      <c r="AW335" s="369"/>
    </row>
    <row r="336" spans="1:66">
      <c r="AD336" s="362">
        <f>AD332+AD333+AD334+AD335</f>
        <v>28255947.848415062</v>
      </c>
      <c r="AK336" s="366"/>
      <c r="AL336" s="367"/>
      <c r="AM336" s="368"/>
      <c r="AN336" s="368"/>
      <c r="AO336" s="368"/>
      <c r="AP336" s="368"/>
      <c r="AQ336" s="368"/>
      <c r="AR336" s="368"/>
      <c r="AS336" s="368"/>
      <c r="AT336" s="368"/>
      <c r="AU336" s="372"/>
      <c r="AV336" s="373">
        <f>AV333+AV334+AV335</f>
        <v>0</v>
      </c>
      <c r="AW336" s="369"/>
    </row>
    <row r="337" spans="30:50">
      <c r="AK337" s="366"/>
      <c r="AL337" s="367"/>
      <c r="AM337" s="369"/>
      <c r="AN337" s="369"/>
      <c r="AO337" s="369"/>
      <c r="AP337" s="369"/>
      <c r="AQ337" s="369"/>
      <c r="AR337" s="369"/>
      <c r="AS337" s="369"/>
      <c r="AT337" s="369"/>
      <c r="AU337" s="12"/>
    </row>
    <row r="338" spans="30:50">
      <c r="AK338" s="366"/>
      <c r="AL338" s="367"/>
      <c r="AM338" s="369"/>
      <c r="AN338" s="369"/>
      <c r="AO338" s="369"/>
      <c r="AP338" s="369"/>
      <c r="AQ338" s="369"/>
      <c r="AR338" s="369"/>
      <c r="AS338" s="369"/>
      <c r="AT338" s="369"/>
    </row>
    <row r="339" spans="30:50">
      <c r="AD339" s="362"/>
      <c r="AH339" s="369"/>
      <c r="AI339" s="369"/>
      <c r="AJ339" s="366"/>
      <c r="AK339" s="366"/>
      <c r="AL339" s="367"/>
      <c r="AM339" s="369"/>
      <c r="AN339" s="369"/>
      <c r="AO339" s="369"/>
      <c r="AP339" s="369"/>
      <c r="AQ339" s="369"/>
      <c r="AR339" s="369"/>
      <c r="AS339" s="369"/>
      <c r="AT339" s="369"/>
      <c r="AU339" s="375"/>
      <c r="AV339" s="375"/>
      <c r="AW339" s="375"/>
      <c r="AX339" s="375"/>
    </row>
    <row r="340" spans="30:50">
      <c r="AD340" s="362"/>
      <c r="AH340" s="369"/>
      <c r="AI340" s="369"/>
      <c r="AJ340" s="366"/>
      <c r="AK340" s="366"/>
      <c r="AL340" s="367"/>
      <c r="AM340" s="369"/>
      <c r="AN340" s="369"/>
      <c r="AO340" s="369"/>
      <c r="AP340" s="369"/>
      <c r="AQ340" s="369"/>
      <c r="AR340" s="369"/>
      <c r="AS340" s="369"/>
      <c r="AT340" s="369"/>
      <c r="AU340" s="376"/>
      <c r="AV340" s="376"/>
      <c r="AW340" s="376"/>
      <c r="AX340" s="375"/>
    </row>
    <row r="341" spans="30:50">
      <c r="AD341" s="362"/>
      <c r="AH341" s="369"/>
      <c r="AI341" s="369"/>
      <c r="AJ341" s="366"/>
      <c r="AK341" s="366"/>
      <c r="AL341" s="367"/>
      <c r="AM341" s="369"/>
      <c r="AN341" s="369"/>
      <c r="AO341" s="369"/>
      <c r="AP341" s="369"/>
      <c r="AQ341" s="369"/>
      <c r="AR341" s="369"/>
      <c r="AS341" s="369"/>
      <c r="AT341" s="369"/>
      <c r="AU341" s="376"/>
      <c r="AV341" s="376"/>
      <c r="AW341" s="376"/>
      <c r="AX341" s="375"/>
    </row>
    <row r="342" spans="30:50">
      <c r="AD342" s="362"/>
      <c r="AH342" s="369"/>
      <c r="AI342" s="369"/>
      <c r="AJ342" s="366"/>
      <c r="AK342" s="366"/>
      <c r="AL342" s="367"/>
      <c r="AM342" s="369"/>
      <c r="AN342" s="369"/>
      <c r="AO342" s="369"/>
      <c r="AP342" s="369"/>
      <c r="AQ342" s="369"/>
      <c r="AR342" s="369"/>
      <c r="AS342" s="369"/>
      <c r="AT342" s="369"/>
      <c r="AU342" s="376"/>
      <c r="AV342" s="376"/>
      <c r="AW342" s="376"/>
      <c r="AX342" s="375"/>
    </row>
    <row r="343" spans="30:50">
      <c r="AD343" s="362"/>
      <c r="AH343" s="369"/>
      <c r="AI343" s="369"/>
      <c r="AJ343" s="366"/>
      <c r="AK343" s="366"/>
      <c r="AL343" s="367"/>
      <c r="AM343" s="369"/>
      <c r="AN343" s="369"/>
      <c r="AO343" s="369"/>
      <c r="AP343" s="369"/>
      <c r="AQ343" s="369"/>
      <c r="AR343" s="369"/>
      <c r="AS343" s="369"/>
      <c r="AT343" s="369"/>
      <c r="AU343" s="376"/>
      <c r="AV343" s="376"/>
      <c r="AW343" s="376"/>
      <c r="AX343" s="375"/>
    </row>
    <row r="344" spans="30:50">
      <c r="AH344" s="369"/>
      <c r="AI344" s="369"/>
      <c r="AJ344" s="366"/>
      <c r="AK344" s="366"/>
      <c r="AL344" s="367"/>
      <c r="AM344" s="369"/>
      <c r="AN344" s="369"/>
      <c r="AO344" s="369"/>
      <c r="AP344" s="369"/>
      <c r="AQ344" s="369"/>
      <c r="AR344" s="369"/>
      <c r="AS344" s="369"/>
      <c r="AT344" s="369"/>
      <c r="AU344" s="369"/>
      <c r="AV344" s="375"/>
      <c r="AW344" s="375"/>
      <c r="AX344" s="375"/>
    </row>
    <row r="345" spans="30:50">
      <c r="AH345" s="369"/>
      <c r="AI345" s="369"/>
      <c r="AJ345" s="366"/>
      <c r="AK345" s="366"/>
      <c r="AL345" s="367"/>
      <c r="AM345" s="369"/>
      <c r="AN345" s="369"/>
      <c r="AO345" s="369"/>
      <c r="AP345" s="369"/>
      <c r="AQ345" s="369"/>
      <c r="AR345" s="369"/>
      <c r="AS345" s="369"/>
      <c r="AT345" s="369"/>
      <c r="AU345" s="375"/>
      <c r="AV345" s="375"/>
      <c r="AW345" s="375"/>
      <c r="AX345" s="375"/>
    </row>
  </sheetData>
  <mergeCells count="27">
    <mergeCell ref="BK4:BK5"/>
    <mergeCell ref="A2:BK2"/>
    <mergeCell ref="U4:U5"/>
    <mergeCell ref="Z4:Z5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Q4:Q5"/>
    <mergeCell ref="S4:S5"/>
    <mergeCell ref="T4:T5"/>
    <mergeCell ref="X4:X5"/>
    <mergeCell ref="Y4:Y5"/>
    <mergeCell ref="BG4:BG5"/>
    <mergeCell ref="BJ4:BJ5"/>
    <mergeCell ref="AA4:AA5"/>
    <mergeCell ref="AE4:AE5"/>
    <mergeCell ref="AF4:AF5"/>
    <mergeCell ref="AS4:AS5"/>
    <mergeCell ref="AU4:AU5"/>
    <mergeCell ref="BC4:BC5"/>
    <mergeCell ref="AT4:AT5"/>
  </mergeCells>
  <dataValidations count="1">
    <dataValidation type="list" allowBlank="1" showInputMessage="1" showErrorMessage="1" sqref="E181 F14:G19 E82 E77 E53 E41 E33 E23:E24 E30 E20 E9:E16 F8:G12 D8:D12 D14:D19 E116">
      <formula1>Организации</formula1>
    </dataValidation>
  </dataValidations>
  <pageMargins left="0.51181102362204722" right="0.11811023622047245" top="0.74803149606299213" bottom="0.35433070866141736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Ю. Созинова</dc:creator>
  <cp:lastModifiedBy>Надежда Ю. Созинова</cp:lastModifiedBy>
  <cp:lastPrinted>2019-07-02T15:11:13Z</cp:lastPrinted>
  <dcterms:created xsi:type="dcterms:W3CDTF">2019-06-27T10:50:53Z</dcterms:created>
  <dcterms:modified xsi:type="dcterms:W3CDTF">2019-07-04T09:12:01Z</dcterms:modified>
</cp:coreProperties>
</file>