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7235" windowHeight="850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Лист1!$E$1:$E$281</definedName>
    <definedName name="Организации">[1]Рабочая!$A$1:$A$2</definedName>
  </definedNames>
  <calcPr calcId="125725"/>
</workbook>
</file>

<file path=xl/calcChain.xml><?xml version="1.0" encoding="utf-8"?>
<calcChain xmlns="http://schemas.openxmlformats.org/spreadsheetml/2006/main">
  <c r="AX34" i="1"/>
  <c r="AO35"/>
  <c r="AO34"/>
  <c r="AO266"/>
  <c r="AO267"/>
  <c r="AX240" l="1"/>
  <c r="AX241"/>
  <c r="AF266"/>
  <c r="BA261"/>
  <c r="AY261"/>
  <c r="AU261"/>
  <c r="AS261"/>
  <c r="AQ261"/>
  <c r="AN261"/>
  <c r="AL261"/>
  <c r="AJ261"/>
  <c r="AI261"/>
  <c r="AG261"/>
  <c r="AF261"/>
  <c r="AE261"/>
  <c r="AC261"/>
  <c r="T261"/>
  <c r="P260"/>
  <c r="V260" s="1"/>
  <c r="X260" s="1"/>
  <c r="O260"/>
  <c r="P259"/>
  <c r="V259" s="1"/>
  <c r="X259" s="1"/>
  <c r="O259"/>
  <c r="P258"/>
  <c r="V258" s="1"/>
  <c r="X258" s="1"/>
  <c r="O258"/>
  <c r="P257"/>
  <c r="V257" s="1"/>
  <c r="X257" s="1"/>
  <c r="O257"/>
  <c r="P256"/>
  <c r="V256" s="1"/>
  <c r="X256" s="1"/>
  <c r="O256"/>
  <c r="P255"/>
  <c r="V255" s="1"/>
  <c r="X255" s="1"/>
  <c r="O255"/>
  <c r="U254"/>
  <c r="Q254"/>
  <c r="W254" s="1"/>
  <c r="Y254" s="1"/>
  <c r="AB254" s="1"/>
  <c r="P254"/>
  <c r="V254" s="1"/>
  <c r="X254" s="1"/>
  <c r="O254"/>
  <c r="R254" s="1"/>
  <c r="P253"/>
  <c r="V253" s="1"/>
  <c r="X253" s="1"/>
  <c r="O253"/>
  <c r="P252"/>
  <c r="V252" s="1"/>
  <c r="X252" s="1"/>
  <c r="O252"/>
  <c r="P251"/>
  <c r="V251" s="1"/>
  <c r="X251" s="1"/>
  <c r="O251"/>
  <c r="P250"/>
  <c r="V250" s="1"/>
  <c r="X250" s="1"/>
  <c r="O250"/>
  <c r="P249"/>
  <c r="V249" s="1"/>
  <c r="X249" s="1"/>
  <c r="O249"/>
  <c r="P248"/>
  <c r="V248" s="1"/>
  <c r="X248" s="1"/>
  <c r="O248"/>
  <c r="Z247"/>
  <c r="P247"/>
  <c r="V247" s="1"/>
  <c r="X247" s="1"/>
  <c r="O247"/>
  <c r="P246"/>
  <c r="V246" s="1"/>
  <c r="X246" s="1"/>
  <c r="O246"/>
  <c r="P245"/>
  <c r="V245" s="1"/>
  <c r="X245" s="1"/>
  <c r="O245"/>
  <c r="AW244"/>
  <c r="AK244"/>
  <c r="P244"/>
  <c r="V244" s="1"/>
  <c r="X244" s="1"/>
  <c r="O244"/>
  <c r="AW243"/>
  <c r="AK243"/>
  <c r="AO243" s="1"/>
  <c r="AX243" s="1"/>
  <c r="P243"/>
  <c r="V243" s="1"/>
  <c r="X243" s="1"/>
  <c r="O243"/>
  <c r="AW242"/>
  <c r="AK242"/>
  <c r="P242"/>
  <c r="V242" s="1"/>
  <c r="X242" s="1"/>
  <c r="O242"/>
  <c r="P241"/>
  <c r="V241" s="1"/>
  <c r="X241" s="1"/>
  <c r="O241"/>
  <c r="AT240"/>
  <c r="AW240" s="1"/>
  <c r="AH240"/>
  <c r="AB240"/>
  <c r="AK240" s="1"/>
  <c r="P240"/>
  <c r="V240" s="1"/>
  <c r="X240" s="1"/>
  <c r="O240"/>
  <c r="AT239"/>
  <c r="P239"/>
  <c r="V239" s="1"/>
  <c r="X239" s="1"/>
  <c r="O239"/>
  <c r="P238"/>
  <c r="V238" s="1"/>
  <c r="X238" s="1"/>
  <c r="O238"/>
  <c r="P237"/>
  <c r="V237" s="1"/>
  <c r="X237" s="1"/>
  <c r="O237"/>
  <c r="U236"/>
  <c r="P236"/>
  <c r="V236" s="1"/>
  <c r="X236" s="1"/>
  <c r="O236"/>
  <c r="P235"/>
  <c r="V235" s="1"/>
  <c r="X235" s="1"/>
  <c r="O235"/>
  <c r="U234"/>
  <c r="P234"/>
  <c r="V234" s="1"/>
  <c r="X234" s="1"/>
  <c r="O234"/>
  <c r="Z233"/>
  <c r="P233"/>
  <c r="O233"/>
  <c r="P232"/>
  <c r="O232"/>
  <c r="P231"/>
  <c r="O231"/>
  <c r="P230"/>
  <c r="O230"/>
  <c r="Z229"/>
  <c r="P229"/>
  <c r="V229" s="1"/>
  <c r="X229" s="1"/>
  <c r="O229"/>
  <c r="P228"/>
  <c r="V228" s="1"/>
  <c r="X228" s="1"/>
  <c r="O228"/>
  <c r="P227"/>
  <c r="V227" s="1"/>
  <c r="X227" s="1"/>
  <c r="O227"/>
  <c r="P226"/>
  <c r="V226" s="1"/>
  <c r="X226" s="1"/>
  <c r="O226"/>
  <c r="Q225"/>
  <c r="W225" s="1"/>
  <c r="Y225" s="1"/>
  <c r="AB225" s="1"/>
  <c r="P225"/>
  <c r="V225" s="1"/>
  <c r="X225" s="1"/>
  <c r="O225"/>
  <c r="R225" s="1"/>
  <c r="P224"/>
  <c r="V224" s="1"/>
  <c r="X224" s="1"/>
  <c r="O224"/>
  <c r="P223"/>
  <c r="V223" s="1"/>
  <c r="X223" s="1"/>
  <c r="O223"/>
  <c r="P222"/>
  <c r="V222" s="1"/>
  <c r="X222" s="1"/>
  <c r="O222"/>
  <c r="P221"/>
  <c r="V221" s="1"/>
  <c r="X221" s="1"/>
  <c r="O221"/>
  <c r="P220"/>
  <c r="V220" s="1"/>
  <c r="X220" s="1"/>
  <c r="O220"/>
  <c r="P219"/>
  <c r="V219" s="1"/>
  <c r="X219" s="1"/>
  <c r="O219"/>
  <c r="P218"/>
  <c r="V218" s="1"/>
  <c r="X218" s="1"/>
  <c r="O218"/>
  <c r="P217"/>
  <c r="V217" s="1"/>
  <c r="X217" s="1"/>
  <c r="O217"/>
  <c r="P216"/>
  <c r="V216" s="1"/>
  <c r="X216" s="1"/>
  <c r="O216"/>
  <c r="P215"/>
  <c r="V215" s="1"/>
  <c r="X215" s="1"/>
  <c r="O215"/>
  <c r="P214"/>
  <c r="V214" s="1"/>
  <c r="X214" s="1"/>
  <c r="O214"/>
  <c r="P213"/>
  <c r="V213" s="1"/>
  <c r="X213" s="1"/>
  <c r="O213"/>
  <c r="P212"/>
  <c r="O212"/>
  <c r="P211"/>
  <c r="O211"/>
  <c r="P210"/>
  <c r="O210"/>
  <c r="P209"/>
  <c r="O209"/>
  <c r="P208"/>
  <c r="O208"/>
  <c r="Z207"/>
  <c r="P207"/>
  <c r="V207" s="1"/>
  <c r="X207" s="1"/>
  <c r="O207"/>
  <c r="P206"/>
  <c r="V206" s="1"/>
  <c r="X206" s="1"/>
  <c r="O206"/>
  <c r="P205"/>
  <c r="V205" s="1"/>
  <c r="X205" s="1"/>
  <c r="O205"/>
  <c r="P204"/>
  <c r="V204" s="1"/>
  <c r="X204" s="1"/>
  <c r="O204"/>
  <c r="P203"/>
  <c r="V203" s="1"/>
  <c r="X203" s="1"/>
  <c r="O203"/>
  <c r="P202"/>
  <c r="V202" s="1"/>
  <c r="X202" s="1"/>
  <c r="O202"/>
  <c r="Z201"/>
  <c r="P201"/>
  <c r="O201"/>
  <c r="P200"/>
  <c r="O200"/>
  <c r="P199"/>
  <c r="O199"/>
  <c r="Z198"/>
  <c r="P198"/>
  <c r="V198" s="1"/>
  <c r="X198" s="1"/>
  <c r="O198"/>
  <c r="P197"/>
  <c r="V197" s="1"/>
  <c r="X197" s="1"/>
  <c r="O197"/>
  <c r="P196"/>
  <c r="V196" s="1"/>
  <c r="X196" s="1"/>
  <c r="O196"/>
  <c r="P195"/>
  <c r="V195" s="1"/>
  <c r="X195" s="1"/>
  <c r="O195"/>
  <c r="P194"/>
  <c r="V194" s="1"/>
  <c r="X194" s="1"/>
  <c r="O194"/>
  <c r="P193"/>
  <c r="O193"/>
  <c r="P192"/>
  <c r="O192"/>
  <c r="Z191"/>
  <c r="P191"/>
  <c r="V191" s="1"/>
  <c r="X191" s="1"/>
  <c r="O191"/>
  <c r="P190"/>
  <c r="V190" s="1"/>
  <c r="X190" s="1"/>
  <c r="O190"/>
  <c r="P189"/>
  <c r="V189" s="1"/>
  <c r="X189" s="1"/>
  <c r="O189"/>
  <c r="P188"/>
  <c r="V188" s="1"/>
  <c r="X188" s="1"/>
  <c r="O188"/>
  <c r="P187"/>
  <c r="V187" s="1"/>
  <c r="X187" s="1"/>
  <c r="O187"/>
  <c r="P186"/>
  <c r="V186" s="1"/>
  <c r="X186" s="1"/>
  <c r="O186"/>
  <c r="Z185"/>
  <c r="P185"/>
  <c r="O185"/>
  <c r="P184"/>
  <c r="O184"/>
  <c r="P183"/>
  <c r="O183"/>
  <c r="P182"/>
  <c r="O182"/>
  <c r="P181"/>
  <c r="O181"/>
  <c r="AA180"/>
  <c r="P180"/>
  <c r="V180" s="1"/>
  <c r="X180" s="1"/>
  <c r="O180"/>
  <c r="AZ179"/>
  <c r="P179"/>
  <c r="O179"/>
  <c r="P178"/>
  <c r="O178"/>
  <c r="U177"/>
  <c r="P177"/>
  <c r="V177" s="1"/>
  <c r="X177" s="1"/>
  <c r="O177"/>
  <c r="P176"/>
  <c r="V176" s="1"/>
  <c r="X176" s="1"/>
  <c r="O176"/>
  <c r="Q175"/>
  <c r="W175" s="1"/>
  <c r="Y175" s="1"/>
  <c r="AB175" s="1"/>
  <c r="AD175" s="1"/>
  <c r="P175"/>
  <c r="V175" s="1"/>
  <c r="X175" s="1"/>
  <c r="O175"/>
  <c r="R175" s="1"/>
  <c r="P174"/>
  <c r="V174" s="1"/>
  <c r="X174" s="1"/>
  <c r="O174"/>
  <c r="P173"/>
  <c r="V173" s="1"/>
  <c r="X173" s="1"/>
  <c r="O173"/>
  <c r="P172"/>
  <c r="V172" s="1"/>
  <c r="X172" s="1"/>
  <c r="O172"/>
  <c r="P171"/>
  <c r="V171" s="1"/>
  <c r="X171" s="1"/>
  <c r="O171"/>
  <c r="P170"/>
  <c r="V170" s="1"/>
  <c r="X170" s="1"/>
  <c r="O170"/>
  <c r="P169"/>
  <c r="V169" s="1"/>
  <c r="X169" s="1"/>
  <c r="O169"/>
  <c r="AH168"/>
  <c r="AT168" s="1"/>
  <c r="P168"/>
  <c r="V168" s="1"/>
  <c r="X168" s="1"/>
  <c r="O168"/>
  <c r="AT167"/>
  <c r="P167"/>
  <c r="O167"/>
  <c r="P166"/>
  <c r="O166"/>
  <c r="P165"/>
  <c r="O165"/>
  <c r="P164"/>
  <c r="O164"/>
  <c r="P163"/>
  <c r="O163"/>
  <c r="P162"/>
  <c r="O162"/>
  <c r="P161"/>
  <c r="O161"/>
  <c r="P160"/>
  <c r="O160"/>
  <c r="P159"/>
  <c r="O159"/>
  <c r="Z158"/>
  <c r="P158"/>
  <c r="V158" s="1"/>
  <c r="X158" s="1"/>
  <c r="O158"/>
  <c r="Q157"/>
  <c r="W157" s="1"/>
  <c r="Y157" s="1"/>
  <c r="AB157" s="1"/>
  <c r="AD157" s="1"/>
  <c r="P157"/>
  <c r="V157" s="1"/>
  <c r="X157" s="1"/>
  <c r="O157"/>
  <c r="R157" s="1"/>
  <c r="AA156"/>
  <c r="P156"/>
  <c r="O156"/>
  <c r="P155"/>
  <c r="O155"/>
  <c r="Z154"/>
  <c r="P154"/>
  <c r="V154" s="1"/>
  <c r="X154" s="1"/>
  <c r="O154"/>
  <c r="P153"/>
  <c r="V153" s="1"/>
  <c r="X153" s="1"/>
  <c r="O153"/>
  <c r="P152"/>
  <c r="V152" s="1"/>
  <c r="X152" s="1"/>
  <c r="O152"/>
  <c r="P151"/>
  <c r="V151" s="1"/>
  <c r="X151" s="1"/>
  <c r="O151"/>
  <c r="P150"/>
  <c r="Q150" s="1"/>
  <c r="W150" s="1"/>
  <c r="Y150" s="1"/>
  <c r="AB150" s="1"/>
  <c r="O150"/>
  <c r="P149"/>
  <c r="V149" s="1"/>
  <c r="X149" s="1"/>
  <c r="O149"/>
  <c r="Z148"/>
  <c r="P148"/>
  <c r="O148"/>
  <c r="P147"/>
  <c r="O147"/>
  <c r="P146"/>
  <c r="O146"/>
  <c r="P145"/>
  <c r="O145"/>
  <c r="P144"/>
  <c r="O144"/>
  <c r="P143"/>
  <c r="O143"/>
  <c r="P142"/>
  <c r="O142"/>
  <c r="J141"/>
  <c r="P140"/>
  <c r="Q140" s="1"/>
  <c r="W140" s="1"/>
  <c r="Y140" s="1"/>
  <c r="AB140" s="1"/>
  <c r="AD140" s="1"/>
  <c r="O140"/>
  <c r="P139"/>
  <c r="V139" s="1"/>
  <c r="X139" s="1"/>
  <c r="O139"/>
  <c r="Q138"/>
  <c r="W138" s="1"/>
  <c r="Y138" s="1"/>
  <c r="AB138" s="1"/>
  <c r="AD138" s="1"/>
  <c r="P138"/>
  <c r="V138" s="1"/>
  <c r="X138" s="1"/>
  <c r="O138"/>
  <c r="R138" s="1"/>
  <c r="P137"/>
  <c r="V137" s="1"/>
  <c r="X137" s="1"/>
  <c r="O137"/>
  <c r="P136"/>
  <c r="Q136" s="1"/>
  <c r="W136" s="1"/>
  <c r="Y136" s="1"/>
  <c r="AB136" s="1"/>
  <c r="O136"/>
  <c r="P135"/>
  <c r="V135" s="1"/>
  <c r="X135" s="1"/>
  <c r="O135"/>
  <c r="P134"/>
  <c r="V134" s="1"/>
  <c r="X134" s="1"/>
  <c r="O134"/>
  <c r="Z133"/>
  <c r="Q133"/>
  <c r="W133" s="1"/>
  <c r="Y133" s="1"/>
  <c r="AB133" s="1"/>
  <c r="P133"/>
  <c r="V133" s="1"/>
  <c r="X133" s="1"/>
  <c r="O133"/>
  <c r="R133" s="1"/>
  <c r="P132"/>
  <c r="V132" s="1"/>
  <c r="X132" s="1"/>
  <c r="O132"/>
  <c r="Z131"/>
  <c r="P131"/>
  <c r="V131" s="1"/>
  <c r="X131" s="1"/>
  <c r="O131"/>
  <c r="P130"/>
  <c r="V130" s="1"/>
  <c r="X130" s="1"/>
  <c r="O130"/>
  <c r="P129"/>
  <c r="V129" s="1"/>
  <c r="X129" s="1"/>
  <c r="O129"/>
  <c r="P128"/>
  <c r="V128" s="1"/>
  <c r="X128" s="1"/>
  <c r="O128"/>
  <c r="AH127"/>
  <c r="AH261" s="1"/>
  <c r="P127"/>
  <c r="V127" s="1"/>
  <c r="X127" s="1"/>
  <c r="O127"/>
  <c r="AT126"/>
  <c r="P126"/>
  <c r="V126" s="1"/>
  <c r="X126" s="1"/>
  <c r="O126"/>
  <c r="P125"/>
  <c r="V125" s="1"/>
  <c r="X125" s="1"/>
  <c r="O125"/>
  <c r="Z124"/>
  <c r="P124"/>
  <c r="V124" s="1"/>
  <c r="X124" s="1"/>
  <c r="O124"/>
  <c r="P123"/>
  <c r="V123" s="1"/>
  <c r="X123" s="1"/>
  <c r="O123"/>
  <c r="P122"/>
  <c r="V122" s="1"/>
  <c r="X122" s="1"/>
  <c r="O122"/>
  <c r="AA121"/>
  <c r="P121"/>
  <c r="V121" s="1"/>
  <c r="X121" s="1"/>
  <c r="O121"/>
  <c r="P120"/>
  <c r="V120" s="1"/>
  <c r="X120" s="1"/>
  <c r="O120"/>
  <c r="P119"/>
  <c r="V119" s="1"/>
  <c r="X119" s="1"/>
  <c r="O119"/>
  <c r="Z118"/>
  <c r="P118"/>
  <c r="V118" s="1"/>
  <c r="X118" s="1"/>
  <c r="O118"/>
  <c r="P117"/>
  <c r="V117" s="1"/>
  <c r="X117" s="1"/>
  <c r="O117"/>
  <c r="P116"/>
  <c r="V116" s="1"/>
  <c r="X116" s="1"/>
  <c r="O116"/>
  <c r="P115"/>
  <c r="V115" s="1"/>
  <c r="X115" s="1"/>
  <c r="O115"/>
  <c r="U114"/>
  <c r="P114"/>
  <c r="V114" s="1"/>
  <c r="X114" s="1"/>
  <c r="O114"/>
  <c r="P113"/>
  <c r="V113" s="1"/>
  <c r="X113" s="1"/>
  <c r="O113"/>
  <c r="P112"/>
  <c r="V112" s="1"/>
  <c r="X112" s="1"/>
  <c r="O112"/>
  <c r="Z111"/>
  <c r="P111"/>
  <c r="V111" s="1"/>
  <c r="X111" s="1"/>
  <c r="O111"/>
  <c r="P110"/>
  <c r="V110" s="1"/>
  <c r="X110" s="1"/>
  <c r="O110"/>
  <c r="P109"/>
  <c r="V109" s="1"/>
  <c r="X109" s="1"/>
  <c r="O109"/>
  <c r="P108"/>
  <c r="V108" s="1"/>
  <c r="X108" s="1"/>
  <c r="O108"/>
  <c r="P107"/>
  <c r="V107" s="1"/>
  <c r="X107" s="1"/>
  <c r="O107"/>
  <c r="P106"/>
  <c r="V106" s="1"/>
  <c r="X106" s="1"/>
  <c r="O106"/>
  <c r="P105"/>
  <c r="V105" s="1"/>
  <c r="X105" s="1"/>
  <c r="O105"/>
  <c r="P104"/>
  <c r="V104" s="1"/>
  <c r="X104" s="1"/>
  <c r="O104"/>
  <c r="P103"/>
  <c r="V103" s="1"/>
  <c r="X103" s="1"/>
  <c r="O103"/>
  <c r="P102"/>
  <c r="V102" s="1"/>
  <c r="X102" s="1"/>
  <c r="O102"/>
  <c r="U101"/>
  <c r="P101"/>
  <c r="V101" s="1"/>
  <c r="X101" s="1"/>
  <c r="O101"/>
  <c r="P100"/>
  <c r="V100" s="1"/>
  <c r="X100" s="1"/>
  <c r="O100"/>
  <c r="AA99"/>
  <c r="AA261" s="1"/>
  <c r="P99"/>
  <c r="V99" s="1"/>
  <c r="X99" s="1"/>
  <c r="O99"/>
  <c r="P98"/>
  <c r="V98" s="1"/>
  <c r="X98" s="1"/>
  <c r="O98"/>
  <c r="P97"/>
  <c r="V97" s="1"/>
  <c r="X97" s="1"/>
  <c r="O97"/>
  <c r="P96"/>
  <c r="V96" s="1"/>
  <c r="X96" s="1"/>
  <c r="O96"/>
  <c r="P95"/>
  <c r="V95" s="1"/>
  <c r="X95" s="1"/>
  <c r="O95"/>
  <c r="P94"/>
  <c r="V94" s="1"/>
  <c r="X94" s="1"/>
  <c r="O94"/>
  <c r="P93"/>
  <c r="V93" s="1"/>
  <c r="X93" s="1"/>
  <c r="O93"/>
  <c r="P92"/>
  <c r="V92" s="1"/>
  <c r="X92" s="1"/>
  <c r="O92"/>
  <c r="P91"/>
  <c r="V91" s="1"/>
  <c r="X91" s="1"/>
  <c r="O91"/>
  <c r="P90"/>
  <c r="V90" s="1"/>
  <c r="X90" s="1"/>
  <c r="O90"/>
  <c r="P89"/>
  <c r="V89" s="1"/>
  <c r="X89" s="1"/>
  <c r="O89"/>
  <c r="P88"/>
  <c r="V88" s="1"/>
  <c r="X88" s="1"/>
  <c r="O88"/>
  <c r="P87"/>
  <c r="Q87" s="1"/>
  <c r="W87" s="1"/>
  <c r="Y87" s="1"/>
  <c r="AB87" s="1"/>
  <c r="O87"/>
  <c r="P86"/>
  <c r="V86" s="1"/>
  <c r="X86" s="1"/>
  <c r="O86"/>
  <c r="P85"/>
  <c r="V85" s="1"/>
  <c r="X85" s="1"/>
  <c r="O85"/>
  <c r="P84"/>
  <c r="V84" s="1"/>
  <c r="X84" s="1"/>
  <c r="O84"/>
  <c r="P83"/>
  <c r="V83" s="1"/>
  <c r="X83" s="1"/>
  <c r="O83"/>
  <c r="P82"/>
  <c r="V82" s="1"/>
  <c r="X82" s="1"/>
  <c r="O82"/>
  <c r="P81"/>
  <c r="V81" s="1"/>
  <c r="X81" s="1"/>
  <c r="O81"/>
  <c r="P80"/>
  <c r="V80" s="1"/>
  <c r="X80" s="1"/>
  <c r="O80"/>
  <c r="Z79"/>
  <c r="P79"/>
  <c r="V79" s="1"/>
  <c r="X79" s="1"/>
  <c r="O79"/>
  <c r="P78"/>
  <c r="V78" s="1"/>
  <c r="X78" s="1"/>
  <c r="O78"/>
  <c r="AZ77"/>
  <c r="AM77"/>
  <c r="AM261" s="1"/>
  <c r="P77"/>
  <c r="V77" s="1"/>
  <c r="X77" s="1"/>
  <c r="O77"/>
  <c r="AZ76"/>
  <c r="AZ261" s="1"/>
  <c r="P76"/>
  <c r="V76" s="1"/>
  <c r="X76" s="1"/>
  <c r="O76"/>
  <c r="P75"/>
  <c r="V75" s="1"/>
  <c r="X75" s="1"/>
  <c r="O75"/>
  <c r="P74"/>
  <c r="V74" s="1"/>
  <c r="X74" s="1"/>
  <c r="O74"/>
  <c r="P73"/>
  <c r="V73" s="1"/>
  <c r="X73" s="1"/>
  <c r="O73"/>
  <c r="Z72"/>
  <c r="P72"/>
  <c r="V72" s="1"/>
  <c r="X72" s="1"/>
  <c r="O72"/>
  <c r="P71"/>
  <c r="V71" s="1"/>
  <c r="X71" s="1"/>
  <c r="O71"/>
  <c r="Z70"/>
  <c r="P70"/>
  <c r="V70" s="1"/>
  <c r="X70" s="1"/>
  <c r="O70"/>
  <c r="P69"/>
  <c r="V69" s="1"/>
  <c r="X69" s="1"/>
  <c r="O69"/>
  <c r="P68"/>
  <c r="V68" s="1"/>
  <c r="X68" s="1"/>
  <c r="O68"/>
  <c r="P67"/>
  <c r="V67" s="1"/>
  <c r="X67" s="1"/>
  <c r="O67"/>
  <c r="P66"/>
  <c r="V66" s="1"/>
  <c r="X66" s="1"/>
  <c r="O66"/>
  <c r="P65"/>
  <c r="V65" s="1"/>
  <c r="X65" s="1"/>
  <c r="O65"/>
  <c r="P64"/>
  <c r="V64" s="1"/>
  <c r="X64" s="1"/>
  <c r="O64"/>
  <c r="P63"/>
  <c r="V63" s="1"/>
  <c r="X63" s="1"/>
  <c r="O63"/>
  <c r="P62"/>
  <c r="V62" s="1"/>
  <c r="X62" s="1"/>
  <c r="O62"/>
  <c r="P61"/>
  <c r="V61" s="1"/>
  <c r="X61" s="1"/>
  <c r="O61"/>
  <c r="AV60"/>
  <c r="P60"/>
  <c r="V60" s="1"/>
  <c r="X60" s="1"/>
  <c r="O60"/>
  <c r="AV59"/>
  <c r="P59"/>
  <c r="V59" s="1"/>
  <c r="X59" s="1"/>
  <c r="O59"/>
  <c r="AV58"/>
  <c r="P58"/>
  <c r="V58" s="1"/>
  <c r="X58" s="1"/>
  <c r="O58"/>
  <c r="AV57"/>
  <c r="P57"/>
  <c r="V57" s="1"/>
  <c r="X57" s="1"/>
  <c r="O57"/>
  <c r="AV56"/>
  <c r="Z56"/>
  <c r="P56"/>
  <c r="V56" s="1"/>
  <c r="X56" s="1"/>
  <c r="O56"/>
  <c r="P55"/>
  <c r="V55" s="1"/>
  <c r="X55" s="1"/>
  <c r="O55"/>
  <c r="P54"/>
  <c r="V54" s="1"/>
  <c r="X54" s="1"/>
  <c r="O54"/>
  <c r="P53"/>
  <c r="V53" s="1"/>
  <c r="X53" s="1"/>
  <c r="O53"/>
  <c r="Z52"/>
  <c r="P52"/>
  <c r="V52" s="1"/>
  <c r="X52" s="1"/>
  <c r="O52"/>
  <c r="P51"/>
  <c r="V51" s="1"/>
  <c r="X51" s="1"/>
  <c r="O51"/>
  <c r="P50"/>
  <c r="V50" s="1"/>
  <c r="X50" s="1"/>
  <c r="O50"/>
  <c r="P49"/>
  <c r="V49" s="1"/>
  <c r="X49" s="1"/>
  <c r="O49"/>
  <c r="Y48"/>
  <c r="AB48" s="1"/>
  <c r="AD48" s="1"/>
  <c r="X48"/>
  <c r="P47"/>
  <c r="V47" s="1"/>
  <c r="X47" s="1"/>
  <c r="O47"/>
  <c r="P46"/>
  <c r="V46" s="1"/>
  <c r="X46" s="1"/>
  <c r="O46"/>
  <c r="Z45"/>
  <c r="P45"/>
  <c r="V45" s="1"/>
  <c r="X45" s="1"/>
  <c r="O45"/>
  <c r="P44"/>
  <c r="V44" s="1"/>
  <c r="X44" s="1"/>
  <c r="O44"/>
  <c r="P43"/>
  <c r="V43" s="1"/>
  <c r="X43" s="1"/>
  <c r="O43"/>
  <c r="P42"/>
  <c r="V42" s="1"/>
  <c r="X42" s="1"/>
  <c r="O42"/>
  <c r="P41"/>
  <c r="V41" s="1"/>
  <c r="X41" s="1"/>
  <c r="O41"/>
  <c r="P40"/>
  <c r="V40" s="1"/>
  <c r="X40" s="1"/>
  <c r="O40"/>
  <c r="P39"/>
  <c r="V39" s="1"/>
  <c r="X39" s="1"/>
  <c r="O39"/>
  <c r="U38"/>
  <c r="P38"/>
  <c r="Q38" s="1"/>
  <c r="O38"/>
  <c r="P37"/>
  <c r="V37" s="1"/>
  <c r="X37" s="1"/>
  <c r="O37"/>
  <c r="P36"/>
  <c r="V36" s="1"/>
  <c r="X36" s="1"/>
  <c r="O36"/>
  <c r="P35"/>
  <c r="V35" s="1"/>
  <c r="X35" s="1"/>
  <c r="O35"/>
  <c r="P34"/>
  <c r="V34" s="1"/>
  <c r="X34" s="1"/>
  <c r="O34"/>
  <c r="P33"/>
  <c r="V33" s="1"/>
  <c r="X33" s="1"/>
  <c r="O33"/>
  <c r="P32"/>
  <c r="V32" s="1"/>
  <c r="X32" s="1"/>
  <c r="O32"/>
  <c r="P31"/>
  <c r="V31" s="1"/>
  <c r="X31" s="1"/>
  <c r="O31"/>
  <c r="P30"/>
  <c r="V30" s="1"/>
  <c r="X30" s="1"/>
  <c r="O30"/>
  <c r="P29"/>
  <c r="V29" s="1"/>
  <c r="X29" s="1"/>
  <c r="O29"/>
  <c r="P28"/>
  <c r="V28" s="1"/>
  <c r="X28" s="1"/>
  <c r="O28"/>
  <c r="P27"/>
  <c r="V27" s="1"/>
  <c r="X27" s="1"/>
  <c r="O27"/>
  <c r="U26"/>
  <c r="P26"/>
  <c r="V26" s="1"/>
  <c r="X26" s="1"/>
  <c r="O26"/>
  <c r="P25"/>
  <c r="Q25" s="1"/>
  <c r="W25" s="1"/>
  <c r="Y25" s="1"/>
  <c r="AB25" s="1"/>
  <c r="O25"/>
  <c r="P24"/>
  <c r="Q24" s="1"/>
  <c r="W24" s="1"/>
  <c r="Y24" s="1"/>
  <c r="AB24" s="1"/>
  <c r="O24"/>
  <c r="P23"/>
  <c r="Q23" s="1"/>
  <c r="W23" s="1"/>
  <c r="Y23" s="1"/>
  <c r="AB23" s="1"/>
  <c r="O23"/>
  <c r="P22"/>
  <c r="V22" s="1"/>
  <c r="X22" s="1"/>
  <c r="O22"/>
  <c r="AO21"/>
  <c r="AX21" s="1"/>
  <c r="P20"/>
  <c r="V20" s="1"/>
  <c r="X20" s="1"/>
  <c r="O20"/>
  <c r="P19"/>
  <c r="V19" s="1"/>
  <c r="X19" s="1"/>
  <c r="O19"/>
  <c r="P18"/>
  <c r="V18" s="1"/>
  <c r="X18" s="1"/>
  <c r="O18"/>
  <c r="P17"/>
  <c r="V17" s="1"/>
  <c r="X17" s="1"/>
  <c r="O17"/>
  <c r="P16"/>
  <c r="V16" s="1"/>
  <c r="X16" s="1"/>
  <c r="O16"/>
  <c r="P15"/>
  <c r="V15" s="1"/>
  <c r="X15" s="1"/>
  <c r="O15"/>
  <c r="P14"/>
  <c r="V14" s="1"/>
  <c r="X14" s="1"/>
  <c r="O14"/>
  <c r="P13"/>
  <c r="V13" s="1"/>
  <c r="X13" s="1"/>
  <c r="O13"/>
  <c r="Z12"/>
  <c r="P12"/>
  <c r="V12" s="1"/>
  <c r="X12" s="1"/>
  <c r="O12"/>
  <c r="P11"/>
  <c r="V11" s="1"/>
  <c r="X11" s="1"/>
  <c r="O11"/>
  <c r="P10"/>
  <c r="V10" s="1"/>
  <c r="X10" s="1"/>
  <c r="O10"/>
  <c r="P9"/>
  <c r="V9" s="1"/>
  <c r="X9" s="1"/>
  <c r="O9"/>
  <c r="A9"/>
  <c r="A10" s="1"/>
  <c r="A11" s="1"/>
  <c r="A12" s="1"/>
  <c r="A13" s="1"/>
  <c r="A14" s="1"/>
  <c r="A15" s="1"/>
  <c r="A16" s="1"/>
  <c r="A17" s="1"/>
  <c r="A18" s="1"/>
  <c r="A19" s="1"/>
  <c r="A20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P8"/>
  <c r="O8"/>
  <c r="BA7"/>
  <c r="AZ7"/>
  <c r="AY7"/>
  <c r="AV7"/>
  <c r="AU7"/>
  <c r="AS7"/>
  <c r="AQ7"/>
  <c r="AN7"/>
  <c r="AM7"/>
  <c r="AL7"/>
  <c r="AJ7"/>
  <c r="AI7"/>
  <c r="AH7"/>
  <c r="AG7"/>
  <c r="AF7"/>
  <c r="AE7"/>
  <c r="AC7"/>
  <c r="AA7"/>
  <c r="Z7"/>
  <c r="U7"/>
  <c r="T7"/>
  <c r="J7"/>
  <c r="R105" l="1"/>
  <c r="Q105"/>
  <c r="W105" s="1"/>
  <c r="Y105" s="1"/>
  <c r="AB105" s="1"/>
  <c r="Q17"/>
  <c r="W17" s="1"/>
  <c r="Y17" s="1"/>
  <c r="AB17" s="1"/>
  <c r="Q91"/>
  <c r="W91" s="1"/>
  <c r="Y91" s="1"/>
  <c r="AB91" s="1"/>
  <c r="AD91" s="1"/>
  <c r="Q116"/>
  <c r="W116" s="1"/>
  <c r="Y116" s="1"/>
  <c r="AB116" s="1"/>
  <c r="Q149"/>
  <c r="W149" s="1"/>
  <c r="Y149" s="1"/>
  <c r="AB149" s="1"/>
  <c r="AD149" s="1"/>
  <c r="Q187"/>
  <c r="W187" s="1"/>
  <c r="Y187" s="1"/>
  <c r="AB187" s="1"/>
  <c r="Q13"/>
  <c r="W13" s="1"/>
  <c r="Y13" s="1"/>
  <c r="AB13" s="1"/>
  <c r="Q204"/>
  <c r="W204" s="1"/>
  <c r="Y204" s="1"/>
  <c r="AB204" s="1"/>
  <c r="Q42"/>
  <c r="W42" s="1"/>
  <c r="Y42" s="1"/>
  <c r="AB42" s="1"/>
  <c r="Q99"/>
  <c r="W99" s="1"/>
  <c r="Y99" s="1"/>
  <c r="AB99" s="1"/>
  <c r="Q109"/>
  <c r="W109" s="1"/>
  <c r="Y109" s="1"/>
  <c r="AB109" s="1"/>
  <c r="Q123"/>
  <c r="W123" s="1"/>
  <c r="Y123" s="1"/>
  <c r="AB123" s="1"/>
  <c r="Q197"/>
  <c r="W197" s="1"/>
  <c r="Y197" s="1"/>
  <c r="AB197" s="1"/>
  <c r="AP197" s="1"/>
  <c r="AW197" s="1"/>
  <c r="Q239"/>
  <c r="W239" s="1"/>
  <c r="Y239" s="1"/>
  <c r="AB239" s="1"/>
  <c r="Q250"/>
  <c r="W250" s="1"/>
  <c r="Y250" s="1"/>
  <c r="AB250" s="1"/>
  <c r="Q52"/>
  <c r="W52" s="1"/>
  <c r="Y52" s="1"/>
  <c r="AB52" s="1"/>
  <c r="Q72"/>
  <c r="W72" s="1"/>
  <c r="Y72" s="1"/>
  <c r="AB72" s="1"/>
  <c r="Q95"/>
  <c r="W95" s="1"/>
  <c r="Y95" s="1"/>
  <c r="AB95" s="1"/>
  <c r="AD95" s="1"/>
  <c r="Q103"/>
  <c r="W103" s="1"/>
  <c r="Y103" s="1"/>
  <c r="AB103" s="1"/>
  <c r="Q107"/>
  <c r="W107" s="1"/>
  <c r="Y107" s="1"/>
  <c r="AB107" s="1"/>
  <c r="Q111"/>
  <c r="W111" s="1"/>
  <c r="Y111" s="1"/>
  <c r="AB111" s="1"/>
  <c r="Q118"/>
  <c r="W118" s="1"/>
  <c r="Y118" s="1"/>
  <c r="AB118" s="1"/>
  <c r="Q127"/>
  <c r="W127" s="1"/>
  <c r="Y127" s="1"/>
  <c r="AB127" s="1"/>
  <c r="Q171"/>
  <c r="W171" s="1"/>
  <c r="Y171" s="1"/>
  <c r="AB171" s="1"/>
  <c r="AD171" s="1"/>
  <c r="Q15"/>
  <c r="W15" s="1"/>
  <c r="Y15" s="1"/>
  <c r="AB15" s="1"/>
  <c r="Q19"/>
  <c r="W19" s="1"/>
  <c r="Y19" s="1"/>
  <c r="AB19" s="1"/>
  <c r="Q40"/>
  <c r="W40" s="1"/>
  <c r="Y40" s="1"/>
  <c r="AB40" s="1"/>
  <c r="Q44"/>
  <c r="W44" s="1"/>
  <c r="Y44" s="1"/>
  <c r="AB44" s="1"/>
  <c r="Q50"/>
  <c r="W50" s="1"/>
  <c r="Y50" s="1"/>
  <c r="AB50" s="1"/>
  <c r="Q60"/>
  <c r="W60" s="1"/>
  <c r="Y60" s="1"/>
  <c r="AB60" s="1"/>
  <c r="Q78"/>
  <c r="W78" s="1"/>
  <c r="Y78" s="1"/>
  <c r="AB78" s="1"/>
  <c r="Q151"/>
  <c r="W151" s="1"/>
  <c r="Y151" s="1"/>
  <c r="AB151" s="1"/>
  <c r="AD151" s="1"/>
  <c r="Q191"/>
  <c r="W191" s="1"/>
  <c r="Y191" s="1"/>
  <c r="AB191" s="1"/>
  <c r="Q194"/>
  <c r="W194" s="1"/>
  <c r="Y194" s="1"/>
  <c r="AB194" s="1"/>
  <c r="AK194" s="1"/>
  <c r="AO194" s="1"/>
  <c r="AX194" s="1"/>
  <c r="Q217"/>
  <c r="W217" s="1"/>
  <c r="Y217" s="1"/>
  <c r="AB217" s="1"/>
  <c r="Q237"/>
  <c r="W237" s="1"/>
  <c r="Y237" s="1"/>
  <c r="AB237" s="1"/>
  <c r="Q242"/>
  <c r="W242" s="1"/>
  <c r="Y242" s="1"/>
  <c r="Q248"/>
  <c r="W248" s="1"/>
  <c r="Y248" s="1"/>
  <c r="AB248" s="1"/>
  <c r="Q252"/>
  <c r="W252" s="1"/>
  <c r="Y252" s="1"/>
  <c r="AB252" s="1"/>
  <c r="Q14"/>
  <c r="W14" s="1"/>
  <c r="Y14" s="1"/>
  <c r="AB14" s="1"/>
  <c r="Q16"/>
  <c r="W16" s="1"/>
  <c r="Y16" s="1"/>
  <c r="Q18"/>
  <c r="W18" s="1"/>
  <c r="Y18" s="1"/>
  <c r="AB18" s="1"/>
  <c r="Q20"/>
  <c r="W20" s="1"/>
  <c r="Y20" s="1"/>
  <c r="AB20" s="1"/>
  <c r="U261"/>
  <c r="Q39"/>
  <c r="W39" s="1"/>
  <c r="Y39" s="1"/>
  <c r="AB39" s="1"/>
  <c r="Q41"/>
  <c r="W41" s="1"/>
  <c r="Y41" s="1"/>
  <c r="AB41" s="1"/>
  <c r="Q43"/>
  <c r="W43" s="1"/>
  <c r="Y43" s="1"/>
  <c r="AB43" s="1"/>
  <c r="Q45"/>
  <c r="W45" s="1"/>
  <c r="Y45" s="1"/>
  <c r="AB45" s="1"/>
  <c r="Q49"/>
  <c r="W49" s="1"/>
  <c r="Y49" s="1"/>
  <c r="AB49" s="1"/>
  <c r="Q51"/>
  <c r="W51" s="1"/>
  <c r="Y51" s="1"/>
  <c r="AB51" s="1"/>
  <c r="Q58"/>
  <c r="W58" s="1"/>
  <c r="Y58" s="1"/>
  <c r="AB58" s="1"/>
  <c r="Q71"/>
  <c r="W71" s="1"/>
  <c r="Y71" s="1"/>
  <c r="AB71" s="1"/>
  <c r="Q77"/>
  <c r="W77" s="1"/>
  <c r="Y77" s="1"/>
  <c r="AB77" s="1"/>
  <c r="Q79"/>
  <c r="W79" s="1"/>
  <c r="Y79" s="1"/>
  <c r="AB79" s="1"/>
  <c r="Q89"/>
  <c r="W89" s="1"/>
  <c r="Y89" s="1"/>
  <c r="AB89" s="1"/>
  <c r="AD89" s="1"/>
  <c r="Q93"/>
  <c r="W93" s="1"/>
  <c r="Y93" s="1"/>
  <c r="AB93" s="1"/>
  <c r="AD93" s="1"/>
  <c r="Q97"/>
  <c r="W97" s="1"/>
  <c r="Y97" s="1"/>
  <c r="AB97" s="1"/>
  <c r="AD97" s="1"/>
  <c r="Q102"/>
  <c r="W102" s="1"/>
  <c r="Y102" s="1"/>
  <c r="AB102" s="1"/>
  <c r="Q104"/>
  <c r="W104" s="1"/>
  <c r="Y104" s="1"/>
  <c r="AB104" s="1"/>
  <c r="Q106"/>
  <c r="W106" s="1"/>
  <c r="Y106" s="1"/>
  <c r="AB106" s="1"/>
  <c r="Q108"/>
  <c r="W108" s="1"/>
  <c r="Y108" s="1"/>
  <c r="AB108" s="1"/>
  <c r="Q110"/>
  <c r="W110" s="1"/>
  <c r="Y110" s="1"/>
  <c r="AB110" s="1"/>
  <c r="Q115"/>
  <c r="W115" s="1"/>
  <c r="Y115" s="1"/>
  <c r="AB115" s="1"/>
  <c r="Q117"/>
  <c r="W117" s="1"/>
  <c r="Y117" s="1"/>
  <c r="AB117" s="1"/>
  <c r="Q122"/>
  <c r="W122" s="1"/>
  <c r="Y122" s="1"/>
  <c r="AB122" s="1"/>
  <c r="Q124"/>
  <c r="W124" s="1"/>
  <c r="Y124" s="1"/>
  <c r="AB124" s="1"/>
  <c r="Q132"/>
  <c r="W132" s="1"/>
  <c r="Y132" s="1"/>
  <c r="AB132" s="1"/>
  <c r="V140"/>
  <c r="X140" s="1"/>
  <c r="Q153"/>
  <c r="W153" s="1"/>
  <c r="Y153" s="1"/>
  <c r="AB153" s="1"/>
  <c r="AD153" s="1"/>
  <c r="Q168"/>
  <c r="W168" s="1"/>
  <c r="Y168" s="1"/>
  <c r="AB168" s="1"/>
  <c r="Q169"/>
  <c r="W169" s="1"/>
  <c r="Y169" s="1"/>
  <c r="AB169" s="1"/>
  <c r="AD169" s="1"/>
  <c r="Q173"/>
  <c r="W173" s="1"/>
  <c r="Y173" s="1"/>
  <c r="AB173" s="1"/>
  <c r="AD173" s="1"/>
  <c r="Q177"/>
  <c r="W177" s="1"/>
  <c r="Y177" s="1"/>
  <c r="AB177" s="1"/>
  <c r="Q189"/>
  <c r="W189" s="1"/>
  <c r="Y189" s="1"/>
  <c r="AB189" s="1"/>
  <c r="Q195"/>
  <c r="W195" s="1"/>
  <c r="Y195" s="1"/>
  <c r="AB195" s="1"/>
  <c r="Q198"/>
  <c r="W198" s="1"/>
  <c r="Y198" s="1"/>
  <c r="AB198" s="1"/>
  <c r="Q213"/>
  <c r="W213" s="1"/>
  <c r="Y213" s="1"/>
  <c r="AB213" s="1"/>
  <c r="Q221"/>
  <c r="W221" s="1"/>
  <c r="Y221" s="1"/>
  <c r="AB221" s="1"/>
  <c r="Q228"/>
  <c r="W228" s="1"/>
  <c r="Y228" s="1"/>
  <c r="AB228" s="1"/>
  <c r="Q238"/>
  <c r="W238" s="1"/>
  <c r="Y238" s="1"/>
  <c r="AB238" s="1"/>
  <c r="AD240"/>
  <c r="Q241"/>
  <c r="W241" s="1"/>
  <c r="Y241" s="1"/>
  <c r="Q249"/>
  <c r="W249" s="1"/>
  <c r="Y249" s="1"/>
  <c r="AB249" s="1"/>
  <c r="Q251"/>
  <c r="W251" s="1"/>
  <c r="Y251" s="1"/>
  <c r="AB251" s="1"/>
  <c r="Q253"/>
  <c r="W253" s="1"/>
  <c r="Y253" s="1"/>
  <c r="AB253" s="1"/>
  <c r="V23"/>
  <c r="X23" s="1"/>
  <c r="V24"/>
  <c r="X24" s="1"/>
  <c r="V25"/>
  <c r="X25" s="1"/>
  <c r="Z261"/>
  <c r="Q22"/>
  <c r="W22" s="1"/>
  <c r="Y22" s="1"/>
  <c r="AB22" s="1"/>
  <c r="R23"/>
  <c r="R24"/>
  <c r="R25"/>
  <c r="Q26"/>
  <c r="W26" s="1"/>
  <c r="Y26" s="1"/>
  <c r="AB26" s="1"/>
  <c r="Q88"/>
  <c r="W88" s="1"/>
  <c r="Y88" s="1"/>
  <c r="AB88" s="1"/>
  <c r="Q90"/>
  <c r="W90" s="1"/>
  <c r="Y90" s="1"/>
  <c r="AB90" s="1"/>
  <c r="Q92"/>
  <c r="W92" s="1"/>
  <c r="Y92" s="1"/>
  <c r="AB92" s="1"/>
  <c r="Q94"/>
  <c r="W94" s="1"/>
  <c r="Y94" s="1"/>
  <c r="AB94" s="1"/>
  <c r="Q96"/>
  <c r="W96" s="1"/>
  <c r="Y96" s="1"/>
  <c r="AB96" s="1"/>
  <c r="Q98"/>
  <c r="W98" s="1"/>
  <c r="Y98" s="1"/>
  <c r="AB98" s="1"/>
  <c r="Q137"/>
  <c r="W137" s="1"/>
  <c r="Y137" s="1"/>
  <c r="AB137" s="1"/>
  <c r="Q139"/>
  <c r="W139" s="1"/>
  <c r="Y139" s="1"/>
  <c r="AB139" s="1"/>
  <c r="V150"/>
  <c r="X150" s="1"/>
  <c r="R140"/>
  <c r="R150"/>
  <c r="Q152"/>
  <c r="W152" s="1"/>
  <c r="Y152" s="1"/>
  <c r="AB152" s="1"/>
  <c r="Q154"/>
  <c r="W154" s="1"/>
  <c r="Y154" s="1"/>
  <c r="AB154" s="1"/>
  <c r="Q158"/>
  <c r="W158" s="1"/>
  <c r="Y158" s="1"/>
  <c r="AB158" s="1"/>
  <c r="Q170"/>
  <c r="W170" s="1"/>
  <c r="Y170" s="1"/>
  <c r="AB170" s="1"/>
  <c r="Q172"/>
  <c r="W172" s="1"/>
  <c r="Y172" s="1"/>
  <c r="AB172" s="1"/>
  <c r="Q174"/>
  <c r="W174" s="1"/>
  <c r="Y174" s="1"/>
  <c r="AB174" s="1"/>
  <c r="Q176"/>
  <c r="W176" s="1"/>
  <c r="Y176" s="1"/>
  <c r="AB176" s="1"/>
  <c r="Q180"/>
  <c r="W180" s="1"/>
  <c r="Y180" s="1"/>
  <c r="Q186"/>
  <c r="W186" s="1"/>
  <c r="Y186" s="1"/>
  <c r="AB186" s="1"/>
  <c r="AD186" s="1"/>
  <c r="Q188"/>
  <c r="W188" s="1"/>
  <c r="Y188" s="1"/>
  <c r="AB188" s="1"/>
  <c r="AD188" s="1"/>
  <c r="Q190"/>
  <c r="W190" s="1"/>
  <c r="Y190" s="1"/>
  <c r="AB190" s="1"/>
  <c r="AD190" s="1"/>
  <c r="Q196"/>
  <c r="W196" s="1"/>
  <c r="Y196" s="1"/>
  <c r="AB196" s="1"/>
  <c r="Q202"/>
  <c r="W202" s="1"/>
  <c r="Y202" s="1"/>
  <c r="AB202" s="1"/>
  <c r="AK202" s="1"/>
  <c r="AO202" s="1"/>
  <c r="AX202" s="1"/>
  <c r="Q203"/>
  <c r="W203" s="1"/>
  <c r="Y203" s="1"/>
  <c r="AB203" s="1"/>
  <c r="Q205"/>
  <c r="W205" s="1"/>
  <c r="Y205" s="1"/>
  <c r="AB205" s="1"/>
  <c r="AP205" s="1"/>
  <c r="AW205" s="1"/>
  <c r="Q206"/>
  <c r="W206" s="1"/>
  <c r="Y206" s="1"/>
  <c r="AB206" s="1"/>
  <c r="AK206" s="1"/>
  <c r="AO206" s="1"/>
  <c r="AX206" s="1"/>
  <c r="Q207"/>
  <c r="W207" s="1"/>
  <c r="Y207" s="1"/>
  <c r="Q214"/>
  <c r="W214" s="1"/>
  <c r="Y214" s="1"/>
  <c r="AB214" s="1"/>
  <c r="AP214" s="1"/>
  <c r="AW214" s="1"/>
  <c r="Q215"/>
  <c r="W215" s="1"/>
  <c r="Y215" s="1"/>
  <c r="AB215" s="1"/>
  <c r="AK215" s="1"/>
  <c r="AO215" s="1"/>
  <c r="AX215" s="1"/>
  <c r="Q216"/>
  <c r="W216" s="1"/>
  <c r="Y216" s="1"/>
  <c r="AB216" s="1"/>
  <c r="Q218"/>
  <c r="W218" s="1"/>
  <c r="Y218" s="1"/>
  <c r="AB218" s="1"/>
  <c r="AP218" s="1"/>
  <c r="AW218" s="1"/>
  <c r="Q219"/>
  <c r="W219" s="1"/>
  <c r="Y219" s="1"/>
  <c r="AB219" s="1"/>
  <c r="AK219" s="1"/>
  <c r="AO219" s="1"/>
  <c r="AX219" s="1"/>
  <c r="Q220"/>
  <c r="W220" s="1"/>
  <c r="Y220" s="1"/>
  <c r="AB220" s="1"/>
  <c r="Q222"/>
  <c r="W222" s="1"/>
  <c r="Y222" s="1"/>
  <c r="AB222" s="1"/>
  <c r="AP222" s="1"/>
  <c r="AW222" s="1"/>
  <c r="Q223"/>
  <c r="W223" s="1"/>
  <c r="Y223" s="1"/>
  <c r="AB223" s="1"/>
  <c r="AK223" s="1"/>
  <c r="AO223" s="1"/>
  <c r="AX223" s="1"/>
  <c r="Q224"/>
  <c r="W224" s="1"/>
  <c r="Y224" s="1"/>
  <c r="AB224" s="1"/>
  <c r="Q226"/>
  <c r="W226" s="1"/>
  <c r="Y226" s="1"/>
  <c r="AB226" s="1"/>
  <c r="AP226" s="1"/>
  <c r="AW226" s="1"/>
  <c r="Q227"/>
  <c r="W227" s="1"/>
  <c r="Y227" s="1"/>
  <c r="AB227" s="1"/>
  <c r="Q229"/>
  <c r="W229" s="1"/>
  <c r="Y229" s="1"/>
  <c r="Q234"/>
  <c r="W234" s="1"/>
  <c r="Y234" s="1"/>
  <c r="AB234" s="1"/>
  <c r="Q244"/>
  <c r="W244" s="1"/>
  <c r="Y244" s="1"/>
  <c r="W38"/>
  <c r="Y38" s="1"/>
  <c r="AB38" s="1"/>
  <c r="R38"/>
  <c r="AD39"/>
  <c r="AP39"/>
  <c r="AW39" s="1"/>
  <c r="AK39"/>
  <c r="AD40"/>
  <c r="AP40"/>
  <c r="AW40" s="1"/>
  <c r="AK40"/>
  <c r="AD41"/>
  <c r="AP41"/>
  <c r="AW41" s="1"/>
  <c r="AK41"/>
  <c r="AD42"/>
  <c r="AP42"/>
  <c r="AW42" s="1"/>
  <c r="AK42"/>
  <c r="AD43"/>
  <c r="AP43"/>
  <c r="AW43" s="1"/>
  <c r="AK43"/>
  <c r="AD44"/>
  <c r="AP44"/>
  <c r="AW44" s="1"/>
  <c r="AK44"/>
  <c r="AP45"/>
  <c r="AW45" s="1"/>
  <c r="AK45"/>
  <c r="AD45"/>
  <c r="AD49"/>
  <c r="AP49"/>
  <c r="AW49" s="1"/>
  <c r="AK49"/>
  <c r="AD50"/>
  <c r="AP50"/>
  <c r="AW50" s="1"/>
  <c r="AK50"/>
  <c r="AD51"/>
  <c r="AP51"/>
  <c r="AW51" s="1"/>
  <c r="AK51"/>
  <c r="AP52"/>
  <c r="AW52" s="1"/>
  <c r="AK52"/>
  <c r="AD52"/>
  <c r="AD58"/>
  <c r="AP58"/>
  <c r="AW58" s="1"/>
  <c r="AK58"/>
  <c r="AD60"/>
  <c r="AP60"/>
  <c r="AW60" s="1"/>
  <c r="AK60"/>
  <c r="AD71"/>
  <c r="AP71"/>
  <c r="AW71" s="1"/>
  <c r="AK71"/>
  <c r="AP72"/>
  <c r="AW72" s="1"/>
  <c r="AK72"/>
  <c r="AD72"/>
  <c r="AP77"/>
  <c r="AW77" s="1"/>
  <c r="AD77"/>
  <c r="AK77"/>
  <c r="AD78"/>
  <c r="AP78"/>
  <c r="AW78" s="1"/>
  <c r="AK78"/>
  <c r="AP79"/>
  <c r="AW79" s="1"/>
  <c r="AK79"/>
  <c r="AD79"/>
  <c r="AD87"/>
  <c r="AK87"/>
  <c r="AP87"/>
  <c r="AW87" s="1"/>
  <c r="A229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18"/>
  <c r="A219" s="1"/>
  <c r="A220" s="1"/>
  <c r="A221" s="1"/>
  <c r="A222" s="1"/>
  <c r="A223" s="1"/>
  <c r="A224" s="1"/>
  <c r="A225" s="1"/>
  <c r="A226" s="1"/>
  <c r="A227" s="1"/>
  <c r="A228" s="1"/>
  <c r="AD13"/>
  <c r="AP13"/>
  <c r="AW13" s="1"/>
  <c r="AK13"/>
  <c r="AD14"/>
  <c r="AP14"/>
  <c r="AW14" s="1"/>
  <c r="AK14"/>
  <c r="AD15"/>
  <c r="AP15"/>
  <c r="AW15" s="1"/>
  <c r="AK15"/>
  <c r="AB16"/>
  <c r="AD17"/>
  <c r="AP17"/>
  <c r="AW17" s="1"/>
  <c r="AK17"/>
  <c r="AD18"/>
  <c r="AP18"/>
  <c r="AW18" s="1"/>
  <c r="AK18"/>
  <c r="AD19"/>
  <c r="AP19"/>
  <c r="AW19" s="1"/>
  <c r="AK19"/>
  <c r="AD20"/>
  <c r="AP20"/>
  <c r="AW20" s="1"/>
  <c r="AK20"/>
  <c r="AD22"/>
  <c r="AP22"/>
  <c r="AW22" s="1"/>
  <c r="AK22"/>
  <c r="AD23"/>
  <c r="AP23"/>
  <c r="AW23" s="1"/>
  <c r="AK23"/>
  <c r="AD24"/>
  <c r="AP24"/>
  <c r="AW24" s="1"/>
  <c r="AK24"/>
  <c r="AD25"/>
  <c r="AP25"/>
  <c r="AW25" s="1"/>
  <c r="AK25"/>
  <c r="AP26"/>
  <c r="AW26" s="1"/>
  <c r="AK26"/>
  <c r="AD26"/>
  <c r="AD88"/>
  <c r="AP88"/>
  <c r="AW88" s="1"/>
  <c r="AK88"/>
  <c r="AD90"/>
  <c r="AP90"/>
  <c r="AW90" s="1"/>
  <c r="AK90"/>
  <c r="AD92"/>
  <c r="AP92"/>
  <c r="AW92" s="1"/>
  <c r="AK92"/>
  <c r="AD94"/>
  <c r="AP94"/>
  <c r="AW94" s="1"/>
  <c r="AK94"/>
  <c r="AD96"/>
  <c r="AP96"/>
  <c r="AW96" s="1"/>
  <c r="AK96"/>
  <c r="AD98"/>
  <c r="AP98"/>
  <c r="AW98" s="1"/>
  <c r="AK98"/>
  <c r="AP102"/>
  <c r="AW102" s="1"/>
  <c r="AK102"/>
  <c r="AD102"/>
  <c r="AP103"/>
  <c r="AW103" s="1"/>
  <c r="AK103"/>
  <c r="AD103"/>
  <c r="AP104"/>
  <c r="AW104" s="1"/>
  <c r="AK104"/>
  <c r="AD104"/>
  <c r="AP105"/>
  <c r="AW105" s="1"/>
  <c r="AK105"/>
  <c r="AD105"/>
  <c r="AP106"/>
  <c r="AW106" s="1"/>
  <c r="AK106"/>
  <c r="AD106"/>
  <c r="AP107"/>
  <c r="AW107" s="1"/>
  <c r="AK107"/>
  <c r="AD107"/>
  <c r="AP108"/>
  <c r="AW108" s="1"/>
  <c r="AK108"/>
  <c r="AD108"/>
  <c r="AP109"/>
  <c r="AW109" s="1"/>
  <c r="AK109"/>
  <c r="AD109"/>
  <c r="AP110"/>
  <c r="AW110" s="1"/>
  <c r="AK110"/>
  <c r="AD110"/>
  <c r="AD111"/>
  <c r="AP111"/>
  <c r="AW111" s="1"/>
  <c r="AK111"/>
  <c r="AP115"/>
  <c r="AW115" s="1"/>
  <c r="AK115"/>
  <c r="AD115"/>
  <c r="AP116"/>
  <c r="AW116" s="1"/>
  <c r="AK116"/>
  <c r="AD116"/>
  <c r="AP117"/>
  <c r="AW117" s="1"/>
  <c r="AK117"/>
  <c r="AD117"/>
  <c r="AD118"/>
  <c r="AP118"/>
  <c r="AW118" s="1"/>
  <c r="AK118"/>
  <c r="AP122"/>
  <c r="AW122" s="1"/>
  <c r="AK122"/>
  <c r="AD122"/>
  <c r="AP123"/>
  <c r="AW123" s="1"/>
  <c r="AK123"/>
  <c r="AD123"/>
  <c r="AD124"/>
  <c r="AP124"/>
  <c r="AW124" s="1"/>
  <c r="AK124"/>
  <c r="AP127"/>
  <c r="AK127"/>
  <c r="AD127"/>
  <c r="AD132"/>
  <c r="AP132"/>
  <c r="AW132" s="1"/>
  <c r="AK132"/>
  <c r="AP133"/>
  <c r="AW133" s="1"/>
  <c r="AK133"/>
  <c r="AD133"/>
  <c r="AD136"/>
  <c r="AK136"/>
  <c r="AP136"/>
  <c r="AW136" s="1"/>
  <c r="AD150"/>
  <c r="AP150"/>
  <c r="AW150" s="1"/>
  <c r="AK150"/>
  <c r="AD152"/>
  <c r="AP152"/>
  <c r="AW152" s="1"/>
  <c r="AK152"/>
  <c r="AD170"/>
  <c r="AP170"/>
  <c r="AW170" s="1"/>
  <c r="AK170"/>
  <c r="AD172"/>
  <c r="AP172"/>
  <c r="AW172" s="1"/>
  <c r="AK172"/>
  <c r="AD174"/>
  <c r="AP174"/>
  <c r="AW174" s="1"/>
  <c r="AK174"/>
  <c r="AD176"/>
  <c r="AP176"/>
  <c r="AW176" s="1"/>
  <c r="AK176"/>
  <c r="V38"/>
  <c r="X38" s="1"/>
  <c r="AK48"/>
  <c r="AP48"/>
  <c r="AW48" s="1"/>
  <c r="V87"/>
  <c r="X87" s="1"/>
  <c r="AP89"/>
  <c r="AW89" s="1"/>
  <c r="AP91"/>
  <c r="AW91" s="1"/>
  <c r="AP93"/>
  <c r="AW93" s="1"/>
  <c r="AP95"/>
  <c r="AW95" s="1"/>
  <c r="AP97"/>
  <c r="AW97" s="1"/>
  <c r="AD99"/>
  <c r="AP99"/>
  <c r="AW99" s="1"/>
  <c r="AK99"/>
  <c r="AD137"/>
  <c r="AP137"/>
  <c r="AW137" s="1"/>
  <c r="AK137"/>
  <c r="AD139"/>
  <c r="AP139"/>
  <c r="AW139" s="1"/>
  <c r="AK139"/>
  <c r="AP177"/>
  <c r="AW177" s="1"/>
  <c r="AK177"/>
  <c r="AD177"/>
  <c r="AD187"/>
  <c r="AP187"/>
  <c r="AW187" s="1"/>
  <c r="AK187"/>
  <c r="AD189"/>
  <c r="AP189"/>
  <c r="AW189" s="1"/>
  <c r="AK189"/>
  <c r="Q8"/>
  <c r="V8"/>
  <c r="Q9"/>
  <c r="Q10"/>
  <c r="Q11"/>
  <c r="Q12"/>
  <c r="Q27"/>
  <c r="Q28"/>
  <c r="Q29"/>
  <c r="Q30"/>
  <c r="Q31"/>
  <c r="Q32"/>
  <c r="Q33"/>
  <c r="Q34"/>
  <c r="Q35"/>
  <c r="Q36"/>
  <c r="Q37"/>
  <c r="Q46"/>
  <c r="Q47"/>
  <c r="Q53"/>
  <c r="Q54"/>
  <c r="Q55"/>
  <c r="Q56"/>
  <c r="AV261"/>
  <c r="Q57"/>
  <c r="Q59"/>
  <c r="Q61"/>
  <c r="Q62"/>
  <c r="Q63"/>
  <c r="Q64"/>
  <c r="Q65"/>
  <c r="Q66"/>
  <c r="Q67"/>
  <c r="Q68"/>
  <c r="Q69"/>
  <c r="Q70"/>
  <c r="Q73"/>
  <c r="Q74"/>
  <c r="Q75"/>
  <c r="Q76"/>
  <c r="Q80"/>
  <c r="Q81"/>
  <c r="Q82"/>
  <c r="Q83"/>
  <c r="Q84"/>
  <c r="Q85"/>
  <c r="Q86"/>
  <c r="R87"/>
  <c r="AK89"/>
  <c r="AK91"/>
  <c r="AK93"/>
  <c r="AK95"/>
  <c r="AK97"/>
  <c r="J261"/>
  <c r="O141"/>
  <c r="O261" s="1"/>
  <c r="V142"/>
  <c r="X142" s="1"/>
  <c r="Q142"/>
  <c r="V144"/>
  <c r="X144" s="1"/>
  <c r="Q144"/>
  <c r="V146"/>
  <c r="X146" s="1"/>
  <c r="Q146"/>
  <c r="V148"/>
  <c r="X148" s="1"/>
  <c r="Q148"/>
  <c r="AP154"/>
  <c r="AW154" s="1"/>
  <c r="AK154"/>
  <c r="V156"/>
  <c r="X156" s="1"/>
  <c r="Q156"/>
  <c r="AP158"/>
  <c r="AW158" s="1"/>
  <c r="AK158"/>
  <c r="V160"/>
  <c r="X160" s="1"/>
  <c r="Q160"/>
  <c r="V162"/>
  <c r="X162" s="1"/>
  <c r="Q162"/>
  <c r="V164"/>
  <c r="X164" s="1"/>
  <c r="Q164"/>
  <c r="V166"/>
  <c r="X166" s="1"/>
  <c r="Q166"/>
  <c r="AP168"/>
  <c r="AW168" s="1"/>
  <c r="AK168"/>
  <c r="AD168"/>
  <c r="V178"/>
  <c r="X178" s="1"/>
  <c r="Q178"/>
  <c r="V181"/>
  <c r="X181" s="1"/>
  <c r="Q181"/>
  <c r="V183"/>
  <c r="X183" s="1"/>
  <c r="Q183"/>
  <c r="V185"/>
  <c r="X185" s="1"/>
  <c r="Q185"/>
  <c r="AP191"/>
  <c r="AW191" s="1"/>
  <c r="AK191"/>
  <c r="V193"/>
  <c r="X193" s="1"/>
  <c r="Q193"/>
  <c r="AD195"/>
  <c r="AK195"/>
  <c r="AD196"/>
  <c r="AP196"/>
  <c r="AW196" s="1"/>
  <c r="V200"/>
  <c r="X200" s="1"/>
  <c r="Q200"/>
  <c r="AD203"/>
  <c r="AK203"/>
  <c r="AD204"/>
  <c r="AP204"/>
  <c r="AW204" s="1"/>
  <c r="V208"/>
  <c r="X208" s="1"/>
  <c r="Q208"/>
  <c r="V212"/>
  <c r="X212" s="1"/>
  <c r="Q212"/>
  <c r="AD213"/>
  <c r="AP213"/>
  <c r="AW213" s="1"/>
  <c r="AD216"/>
  <c r="AK216"/>
  <c r="AD217"/>
  <c r="AP217"/>
  <c r="AW217" s="1"/>
  <c r="AD220"/>
  <c r="AK220"/>
  <c r="AD221"/>
  <c r="AP221"/>
  <c r="AW221" s="1"/>
  <c r="AD224"/>
  <c r="AK224"/>
  <c r="AD225"/>
  <c r="AP225"/>
  <c r="AW225" s="1"/>
  <c r="AD228"/>
  <c r="AP228"/>
  <c r="AW228" s="1"/>
  <c r="AK228"/>
  <c r="AD234"/>
  <c r="AP234"/>
  <c r="AW234" s="1"/>
  <c r="AK234"/>
  <c r="AP248"/>
  <c r="AW248" s="1"/>
  <c r="AK248"/>
  <c r="AD248"/>
  <c r="AP249"/>
  <c r="AW249" s="1"/>
  <c r="AK249"/>
  <c r="AD249"/>
  <c r="AP250"/>
  <c r="AW250" s="1"/>
  <c r="AK250"/>
  <c r="AD250"/>
  <c r="AP251"/>
  <c r="AW251" s="1"/>
  <c r="AK251"/>
  <c r="AD251"/>
  <c r="AP252"/>
  <c r="AW252" s="1"/>
  <c r="AK252"/>
  <c r="AD252"/>
  <c r="AP253"/>
  <c r="AW253" s="1"/>
  <c r="AK253"/>
  <c r="AD253"/>
  <c r="AD254"/>
  <c r="AP254"/>
  <c r="AW254" s="1"/>
  <c r="AK254"/>
  <c r="Q100"/>
  <c r="Q101"/>
  <c r="Q112"/>
  <c r="Q113"/>
  <c r="Q114"/>
  <c r="Q119"/>
  <c r="Q120"/>
  <c r="Q121"/>
  <c r="Q125"/>
  <c r="Q126"/>
  <c r="V136"/>
  <c r="X136" s="1"/>
  <c r="AP138"/>
  <c r="AW138" s="1"/>
  <c r="AP140"/>
  <c r="AW140" s="1"/>
  <c r="AP149"/>
  <c r="AW149" s="1"/>
  <c r="AP151"/>
  <c r="AW151" s="1"/>
  <c r="AP153"/>
  <c r="AW153" s="1"/>
  <c r="AD154"/>
  <c r="AP157"/>
  <c r="AW157" s="1"/>
  <c r="AD158"/>
  <c r="AP169"/>
  <c r="AW169" s="1"/>
  <c r="AP171"/>
  <c r="AW171" s="1"/>
  <c r="AP173"/>
  <c r="AW173" s="1"/>
  <c r="AP175"/>
  <c r="AW175" s="1"/>
  <c r="AP186"/>
  <c r="AW186" s="1"/>
  <c r="AP188"/>
  <c r="AW188" s="1"/>
  <c r="AP190"/>
  <c r="AW190" s="1"/>
  <c r="AD191"/>
  <c r="AI266"/>
  <c r="V143"/>
  <c r="X143" s="1"/>
  <c r="Q143"/>
  <c r="V145"/>
  <c r="X145" s="1"/>
  <c r="Q145"/>
  <c r="V147"/>
  <c r="X147" s="1"/>
  <c r="Q147"/>
  <c r="V155"/>
  <c r="X155" s="1"/>
  <c r="Q155"/>
  <c r="V159"/>
  <c r="X159" s="1"/>
  <c r="Q159"/>
  <c r="V161"/>
  <c r="X161" s="1"/>
  <c r="Q161"/>
  <c r="V163"/>
  <c r="X163" s="1"/>
  <c r="Q163"/>
  <c r="V165"/>
  <c r="X165" s="1"/>
  <c r="Q165"/>
  <c r="V167"/>
  <c r="X167" s="1"/>
  <c r="Q167"/>
  <c r="V179"/>
  <c r="X179" s="1"/>
  <c r="Q179"/>
  <c r="V182"/>
  <c r="X182" s="1"/>
  <c r="Q182"/>
  <c r="V184"/>
  <c r="X184" s="1"/>
  <c r="Q184"/>
  <c r="V192"/>
  <c r="X192" s="1"/>
  <c r="Q192"/>
  <c r="AD194"/>
  <c r="AP194"/>
  <c r="AW194" s="1"/>
  <c r="AD197"/>
  <c r="AK197"/>
  <c r="AP198"/>
  <c r="AW198" s="1"/>
  <c r="AK198"/>
  <c r="AD202"/>
  <c r="AP202"/>
  <c r="AW202" s="1"/>
  <c r="AD205"/>
  <c r="AK205"/>
  <c r="AD206"/>
  <c r="AP206"/>
  <c r="AW206" s="1"/>
  <c r="V210"/>
  <c r="X210" s="1"/>
  <c r="Q210"/>
  <c r="AD214"/>
  <c r="AK214"/>
  <c r="AD215"/>
  <c r="AP215"/>
  <c r="AW215" s="1"/>
  <c r="AD218"/>
  <c r="AK218"/>
  <c r="AD219"/>
  <c r="AP219"/>
  <c r="AW219" s="1"/>
  <c r="AD222"/>
  <c r="AK222"/>
  <c r="AD223"/>
  <c r="AP223"/>
  <c r="AW223" s="1"/>
  <c r="AD226"/>
  <c r="AK226"/>
  <c r="AD227"/>
  <c r="AK227"/>
  <c r="AP227"/>
  <c r="AW227" s="1"/>
  <c r="V232"/>
  <c r="X232" s="1"/>
  <c r="Q232"/>
  <c r="AT127"/>
  <c r="AT7" s="1"/>
  <c r="Q128"/>
  <c r="Q129"/>
  <c r="Q130"/>
  <c r="Q131"/>
  <c r="Q134"/>
  <c r="Q135"/>
  <c r="R136"/>
  <c r="AK138"/>
  <c r="AK140"/>
  <c r="P141"/>
  <c r="AK149"/>
  <c r="AK151"/>
  <c r="AK153"/>
  <c r="AK157"/>
  <c r="AK169"/>
  <c r="AK171"/>
  <c r="AK173"/>
  <c r="AK175"/>
  <c r="AB180"/>
  <c r="AK186"/>
  <c r="AK188"/>
  <c r="AK190"/>
  <c r="AP195"/>
  <c r="AW195" s="1"/>
  <c r="AK196"/>
  <c r="AD198"/>
  <c r="AP203"/>
  <c r="AW203" s="1"/>
  <c r="AK204"/>
  <c r="AK213"/>
  <c r="AP216"/>
  <c r="AW216" s="1"/>
  <c r="AK217"/>
  <c r="AP220"/>
  <c r="AW220" s="1"/>
  <c r="AK221"/>
  <c r="AP224"/>
  <c r="AW224" s="1"/>
  <c r="AK225"/>
  <c r="V199"/>
  <c r="X199" s="1"/>
  <c r="Q199"/>
  <c r="V201"/>
  <c r="X201" s="1"/>
  <c r="Q201"/>
  <c r="V209"/>
  <c r="X209" s="1"/>
  <c r="Q209"/>
  <c r="V211"/>
  <c r="X211" s="1"/>
  <c r="Q211"/>
  <c r="V230"/>
  <c r="X230" s="1"/>
  <c r="Q230"/>
  <c r="AB207"/>
  <c r="V231"/>
  <c r="X231" s="1"/>
  <c r="Q231"/>
  <c r="V233"/>
  <c r="X233" s="1"/>
  <c r="Q233"/>
  <c r="AP237"/>
  <c r="AW237" s="1"/>
  <c r="AK237"/>
  <c r="AD237"/>
  <c r="AP238"/>
  <c r="AW238" s="1"/>
  <c r="AK238"/>
  <c r="AD238"/>
  <c r="AP239"/>
  <c r="AK239"/>
  <c r="AD239"/>
  <c r="AB229"/>
  <c r="Q235"/>
  <c r="Q236"/>
  <c r="Q240"/>
  <c r="AO242"/>
  <c r="AX242" s="1"/>
  <c r="Q243"/>
  <c r="AO244"/>
  <c r="AX244" s="1"/>
  <c r="Q245"/>
  <c r="Q246"/>
  <c r="Q247"/>
  <c r="Q255"/>
  <c r="Q256"/>
  <c r="Q257"/>
  <c r="Q258"/>
  <c r="Q259"/>
  <c r="Q260"/>
  <c r="R13" l="1"/>
  <c r="R187"/>
  <c r="R149"/>
  <c r="R116"/>
  <c r="R91"/>
  <c r="R17"/>
  <c r="R250"/>
  <c r="R239"/>
  <c r="R197"/>
  <c r="R123"/>
  <c r="R109"/>
  <c r="R99"/>
  <c r="R42"/>
  <c r="R204"/>
  <c r="R238"/>
  <c r="R228"/>
  <c r="R221"/>
  <c r="R213"/>
  <c r="R198"/>
  <c r="R195"/>
  <c r="R189"/>
  <c r="R177"/>
  <c r="R173"/>
  <c r="R169"/>
  <c r="R168"/>
  <c r="R153"/>
  <c r="R14"/>
  <c r="R252"/>
  <c r="R248"/>
  <c r="R242"/>
  <c r="R237"/>
  <c r="R217"/>
  <c r="R194"/>
  <c r="R191"/>
  <c r="R151"/>
  <c r="R78"/>
  <c r="R60"/>
  <c r="R50"/>
  <c r="R44"/>
  <c r="R40"/>
  <c r="R19"/>
  <c r="R15"/>
  <c r="R171"/>
  <c r="R127"/>
  <c r="R118"/>
  <c r="R111"/>
  <c r="R107"/>
  <c r="R103"/>
  <c r="R95"/>
  <c r="R72"/>
  <c r="R52"/>
  <c r="R20"/>
  <c r="R18"/>
  <c r="R16"/>
  <c r="R139"/>
  <c r="R137"/>
  <c r="R98"/>
  <c r="R96"/>
  <c r="R94"/>
  <c r="R92"/>
  <c r="R90"/>
  <c r="R88"/>
  <c r="R26"/>
  <c r="R253"/>
  <c r="R251"/>
  <c r="R249"/>
  <c r="R241"/>
  <c r="R132"/>
  <c r="R124"/>
  <c r="R122"/>
  <c r="R117"/>
  <c r="R115"/>
  <c r="R110"/>
  <c r="R108"/>
  <c r="R106"/>
  <c r="R104"/>
  <c r="R102"/>
  <c r="R97"/>
  <c r="R93"/>
  <c r="R89"/>
  <c r="R79"/>
  <c r="R77"/>
  <c r="R71"/>
  <c r="R58"/>
  <c r="R51"/>
  <c r="R49"/>
  <c r="R45"/>
  <c r="R43"/>
  <c r="R41"/>
  <c r="R39"/>
  <c r="R244"/>
  <c r="R234"/>
  <c r="R229"/>
  <c r="R227"/>
  <c r="R226"/>
  <c r="R224"/>
  <c r="R223"/>
  <c r="R222"/>
  <c r="R220"/>
  <c r="R219"/>
  <c r="R218"/>
  <c r="R216"/>
  <c r="R215"/>
  <c r="R214"/>
  <c r="R207"/>
  <c r="R206"/>
  <c r="R205"/>
  <c r="R203"/>
  <c r="R202"/>
  <c r="R196"/>
  <c r="R190"/>
  <c r="R188"/>
  <c r="R186"/>
  <c r="R180"/>
  <c r="R176"/>
  <c r="R174"/>
  <c r="R172"/>
  <c r="R170"/>
  <c r="R158"/>
  <c r="R154"/>
  <c r="R152"/>
  <c r="R22"/>
  <c r="W259"/>
  <c r="Y259" s="1"/>
  <c r="AB259" s="1"/>
  <c r="R259"/>
  <c r="W257"/>
  <c r="Y257" s="1"/>
  <c r="AB257" s="1"/>
  <c r="R257"/>
  <c r="W255"/>
  <c r="Y255" s="1"/>
  <c r="AB255" s="1"/>
  <c r="R255"/>
  <c r="W246"/>
  <c r="Y246" s="1"/>
  <c r="AB246" s="1"/>
  <c r="R246"/>
  <c r="W240"/>
  <c r="Y240" s="1"/>
  <c r="R240"/>
  <c r="W235"/>
  <c r="Y235" s="1"/>
  <c r="AB235" s="1"/>
  <c r="R235"/>
  <c r="AP241"/>
  <c r="AW239"/>
  <c r="AO238"/>
  <c r="AX238" s="1"/>
  <c r="R230"/>
  <c r="W230"/>
  <c r="Y230" s="1"/>
  <c r="AB230" s="1"/>
  <c r="W211"/>
  <c r="Y211" s="1"/>
  <c r="AB211" s="1"/>
  <c r="R211"/>
  <c r="W209"/>
  <c r="Y209" s="1"/>
  <c r="AB209" s="1"/>
  <c r="R209"/>
  <c r="W201"/>
  <c r="Y201" s="1"/>
  <c r="AB201" s="1"/>
  <c r="R201"/>
  <c r="W199"/>
  <c r="Y199" s="1"/>
  <c r="AB199" s="1"/>
  <c r="R199"/>
  <c r="AO225"/>
  <c r="AX225" s="1"/>
  <c r="AO217"/>
  <c r="AX217" s="1"/>
  <c r="AO190"/>
  <c r="AX190" s="1"/>
  <c r="AO186"/>
  <c r="AX186" s="1"/>
  <c r="AO175"/>
  <c r="AX175" s="1"/>
  <c r="AO171"/>
  <c r="AX171" s="1"/>
  <c r="AO157"/>
  <c r="AX157" s="1"/>
  <c r="AO151"/>
  <c r="AX151" s="1"/>
  <c r="V141"/>
  <c r="X141" s="1"/>
  <c r="Q141"/>
  <c r="W141" s="1"/>
  <c r="Y141" s="1"/>
  <c r="AB141" s="1"/>
  <c r="P7"/>
  <c r="AO138"/>
  <c r="AX138" s="1"/>
  <c r="W135"/>
  <c r="Y135" s="1"/>
  <c r="AB135" s="1"/>
  <c r="R135"/>
  <c r="W131"/>
  <c r="Y131" s="1"/>
  <c r="AB131" s="1"/>
  <c r="R131"/>
  <c r="W129"/>
  <c r="Y129" s="1"/>
  <c r="AB129" s="1"/>
  <c r="R129"/>
  <c r="R232"/>
  <c r="W232"/>
  <c r="Y232" s="1"/>
  <c r="AB232" s="1"/>
  <c r="W125"/>
  <c r="Y125" s="1"/>
  <c r="AB125" s="1"/>
  <c r="R125"/>
  <c r="W120"/>
  <c r="Y120" s="1"/>
  <c r="AB120" s="1"/>
  <c r="R120"/>
  <c r="R114"/>
  <c r="W114"/>
  <c r="Y114" s="1"/>
  <c r="AB114" s="1"/>
  <c r="W112"/>
  <c r="Y112" s="1"/>
  <c r="AB112" s="1"/>
  <c r="R112"/>
  <c r="W100"/>
  <c r="Y100" s="1"/>
  <c r="AB100" s="1"/>
  <c r="R100"/>
  <c r="AO252"/>
  <c r="AX252" s="1"/>
  <c r="AO250"/>
  <c r="AX250" s="1"/>
  <c r="AO248"/>
  <c r="AX248" s="1"/>
  <c r="AO234"/>
  <c r="AX234" s="1"/>
  <c r="AO224"/>
  <c r="AX224" s="1"/>
  <c r="AO220"/>
  <c r="AX220" s="1"/>
  <c r="AO216"/>
  <c r="AX216" s="1"/>
  <c r="R212"/>
  <c r="W212"/>
  <c r="Y212" s="1"/>
  <c r="AB212" s="1"/>
  <c r="R208"/>
  <c r="W208"/>
  <c r="Y208" s="1"/>
  <c r="AB208" s="1"/>
  <c r="AO203"/>
  <c r="AX203" s="1"/>
  <c r="R200"/>
  <c r="W200"/>
  <c r="Y200" s="1"/>
  <c r="AB200" s="1"/>
  <c r="AO195"/>
  <c r="AX195" s="1"/>
  <c r="R193"/>
  <c r="W193"/>
  <c r="Y193" s="1"/>
  <c r="AB193" s="1"/>
  <c r="AO191"/>
  <c r="AX191" s="1"/>
  <c r="R185"/>
  <c r="W185"/>
  <c r="Y185" s="1"/>
  <c r="AB185" s="1"/>
  <c r="R183"/>
  <c r="W183"/>
  <c r="Y183" s="1"/>
  <c r="AB183" s="1"/>
  <c r="R181"/>
  <c r="W181"/>
  <c r="Y181" s="1"/>
  <c r="AB181" s="1"/>
  <c r="R178"/>
  <c r="W178"/>
  <c r="Y178" s="1"/>
  <c r="AB178" s="1"/>
  <c r="AO95"/>
  <c r="AX95" s="1"/>
  <c r="AO91"/>
  <c r="AX91" s="1"/>
  <c r="W85"/>
  <c r="Y85" s="1"/>
  <c r="AB85" s="1"/>
  <c r="R85"/>
  <c r="W83"/>
  <c r="Y83" s="1"/>
  <c r="AB83" s="1"/>
  <c r="R83"/>
  <c r="W81"/>
  <c r="Y81" s="1"/>
  <c r="AB81" s="1"/>
  <c r="R81"/>
  <c r="W76"/>
  <c r="Y76" s="1"/>
  <c r="AB76" s="1"/>
  <c r="R76"/>
  <c r="W74"/>
  <c r="Y74" s="1"/>
  <c r="AB74" s="1"/>
  <c r="R74"/>
  <c r="W70"/>
  <c r="Y70" s="1"/>
  <c r="AB70" s="1"/>
  <c r="R70"/>
  <c r="W68"/>
  <c r="Y68" s="1"/>
  <c r="AB68" s="1"/>
  <c r="R68"/>
  <c r="W66"/>
  <c r="Y66" s="1"/>
  <c r="AB66" s="1"/>
  <c r="R66"/>
  <c r="W64"/>
  <c r="Y64" s="1"/>
  <c r="AB64" s="1"/>
  <c r="R64"/>
  <c r="W62"/>
  <c r="Y62" s="1"/>
  <c r="AB62" s="1"/>
  <c r="R62"/>
  <c r="W59"/>
  <c r="Y59" s="1"/>
  <c r="AB59" s="1"/>
  <c r="R59"/>
  <c r="W55"/>
  <c r="Y55" s="1"/>
  <c r="AB55" s="1"/>
  <c r="R55"/>
  <c r="W53"/>
  <c r="Y53" s="1"/>
  <c r="AB53" s="1"/>
  <c r="R53"/>
  <c r="W46"/>
  <c r="Y46" s="1"/>
  <c r="AB46" s="1"/>
  <c r="R46"/>
  <c r="W36"/>
  <c r="Y36" s="1"/>
  <c r="AB36" s="1"/>
  <c r="R36"/>
  <c r="W34"/>
  <c r="Y34" s="1"/>
  <c r="AB34" s="1"/>
  <c r="R34"/>
  <c r="W32"/>
  <c r="Y32" s="1"/>
  <c r="AB32" s="1"/>
  <c r="R32"/>
  <c r="W30"/>
  <c r="Y30" s="1"/>
  <c r="AB30" s="1"/>
  <c r="R30"/>
  <c r="W28"/>
  <c r="Y28" s="1"/>
  <c r="AB28" s="1"/>
  <c r="R28"/>
  <c r="W12"/>
  <c r="Y12" s="1"/>
  <c r="AB12" s="1"/>
  <c r="R12"/>
  <c r="W10"/>
  <c r="Y10" s="1"/>
  <c r="AB10" s="1"/>
  <c r="R10"/>
  <c r="V261"/>
  <c r="X8"/>
  <c r="V7"/>
  <c r="AO187"/>
  <c r="AX187" s="1"/>
  <c r="AO137"/>
  <c r="AX137" s="1"/>
  <c r="AO176"/>
  <c r="AX176" s="1"/>
  <c r="AO172"/>
  <c r="AX172" s="1"/>
  <c r="AO152"/>
  <c r="AX152" s="1"/>
  <c r="AO133"/>
  <c r="AX133" s="1"/>
  <c r="AO132"/>
  <c r="AX132" s="1"/>
  <c r="AO127"/>
  <c r="AX127" s="1"/>
  <c r="AO124"/>
  <c r="AX124" s="1"/>
  <c r="AO123"/>
  <c r="AX123" s="1"/>
  <c r="AO116"/>
  <c r="AX116" s="1"/>
  <c r="AO109"/>
  <c r="AX109" s="1"/>
  <c r="AO107"/>
  <c r="AX107" s="1"/>
  <c r="AO105"/>
  <c r="AX105" s="1"/>
  <c r="AO103"/>
  <c r="AX103" s="1"/>
  <c r="AO96"/>
  <c r="AX96" s="1"/>
  <c r="AO92"/>
  <c r="AX92" s="1"/>
  <c r="AO88"/>
  <c r="AX88" s="1"/>
  <c r="AO26"/>
  <c r="AX26" s="1"/>
  <c r="AO25"/>
  <c r="AX25" s="1"/>
  <c r="AO23"/>
  <c r="AX23" s="1"/>
  <c r="AO20"/>
  <c r="AX20" s="1"/>
  <c r="AO18"/>
  <c r="AX18" s="1"/>
  <c r="AD16"/>
  <c r="AP16"/>
  <c r="AW16" s="1"/>
  <c r="AK16"/>
  <c r="AO15"/>
  <c r="AX15" s="1"/>
  <c r="AO13"/>
  <c r="AX13" s="1"/>
  <c r="AO79"/>
  <c r="AX79" s="1"/>
  <c r="AO78"/>
  <c r="AX78" s="1"/>
  <c r="AO60"/>
  <c r="AO50"/>
  <c r="AX50" s="1"/>
  <c r="AO43"/>
  <c r="AX43" s="1"/>
  <c r="AO41"/>
  <c r="AX41" s="1"/>
  <c r="AO39"/>
  <c r="AX39" s="1"/>
  <c r="AD38"/>
  <c r="AP38"/>
  <c r="AW38" s="1"/>
  <c r="AK38"/>
  <c r="W260"/>
  <c r="Y260" s="1"/>
  <c r="R260"/>
  <c r="W258"/>
  <c r="Y258" s="1"/>
  <c r="AB258" s="1"/>
  <c r="R258"/>
  <c r="W256"/>
  <c r="Y256" s="1"/>
  <c r="AB256" s="1"/>
  <c r="R256"/>
  <c r="W247"/>
  <c r="Y247" s="1"/>
  <c r="AB247" s="1"/>
  <c r="R247"/>
  <c r="W245"/>
  <c r="Y245" s="1"/>
  <c r="AB245" s="1"/>
  <c r="R245"/>
  <c r="W243"/>
  <c r="Y243" s="1"/>
  <c r="R243"/>
  <c r="R236"/>
  <c r="W236"/>
  <c r="Y236" s="1"/>
  <c r="AB236" s="1"/>
  <c r="AP229"/>
  <c r="AW229" s="1"/>
  <c r="AK229"/>
  <c r="AD229"/>
  <c r="AO239"/>
  <c r="AX239" s="1"/>
  <c r="AO237"/>
  <c r="AX237" s="1"/>
  <c r="W233"/>
  <c r="Y233" s="1"/>
  <c r="AB233" s="1"/>
  <c r="R233"/>
  <c r="W231"/>
  <c r="Y231" s="1"/>
  <c r="AB231" s="1"/>
  <c r="R231"/>
  <c r="AP207"/>
  <c r="AW207" s="1"/>
  <c r="AK207"/>
  <c r="AD207"/>
  <c r="AO221"/>
  <c r="AX221" s="1"/>
  <c r="AO213"/>
  <c r="AX213" s="1"/>
  <c r="AO204"/>
  <c r="AX204" s="1"/>
  <c r="AO196"/>
  <c r="AX196" s="1"/>
  <c r="AO188"/>
  <c r="AX188" s="1"/>
  <c r="AP180"/>
  <c r="AW180" s="1"/>
  <c r="AK180"/>
  <c r="AD180"/>
  <c r="AO173"/>
  <c r="AX173" s="1"/>
  <c r="AO169"/>
  <c r="AX169" s="1"/>
  <c r="AO153"/>
  <c r="AX153" s="1"/>
  <c r="AO149"/>
  <c r="AX149" s="1"/>
  <c r="AO140"/>
  <c r="AX140" s="1"/>
  <c r="W134"/>
  <c r="Y134" s="1"/>
  <c r="AB134" s="1"/>
  <c r="R134"/>
  <c r="W130"/>
  <c r="Y130" s="1"/>
  <c r="AB130" s="1"/>
  <c r="R130"/>
  <c r="W128"/>
  <c r="Y128" s="1"/>
  <c r="AB128" s="1"/>
  <c r="R128"/>
  <c r="AO227"/>
  <c r="AX227" s="1"/>
  <c r="AO226"/>
  <c r="AX226" s="1"/>
  <c r="AO222"/>
  <c r="AX222" s="1"/>
  <c r="AO218"/>
  <c r="AX218" s="1"/>
  <c r="AO214"/>
  <c r="AX214" s="1"/>
  <c r="R210"/>
  <c r="W210"/>
  <c r="Y210" s="1"/>
  <c r="AB210" s="1"/>
  <c r="AO205"/>
  <c r="AX205" s="1"/>
  <c r="AO198"/>
  <c r="AX198" s="1"/>
  <c r="AO197"/>
  <c r="AX197" s="1"/>
  <c r="W192"/>
  <c r="Y192" s="1"/>
  <c r="AB192" s="1"/>
  <c r="R192"/>
  <c r="W184"/>
  <c r="Y184" s="1"/>
  <c r="AB184" s="1"/>
  <c r="R184"/>
  <c r="W182"/>
  <c r="Y182" s="1"/>
  <c r="AB182" s="1"/>
  <c r="R182"/>
  <c r="W179"/>
  <c r="Y179" s="1"/>
  <c r="AB179" s="1"/>
  <c r="R179"/>
  <c r="W167"/>
  <c r="Y167" s="1"/>
  <c r="AB167" s="1"/>
  <c r="R167"/>
  <c r="W165"/>
  <c r="Y165" s="1"/>
  <c r="AB165" s="1"/>
  <c r="R165"/>
  <c r="W163"/>
  <c r="Y163" s="1"/>
  <c r="AB163" s="1"/>
  <c r="R163"/>
  <c r="W161"/>
  <c r="Y161" s="1"/>
  <c r="AB161" s="1"/>
  <c r="R161"/>
  <c r="W159"/>
  <c r="Y159" s="1"/>
  <c r="AB159" s="1"/>
  <c r="R159"/>
  <c r="W155"/>
  <c r="Y155" s="1"/>
  <c r="AB155" s="1"/>
  <c r="R155"/>
  <c r="W147"/>
  <c r="Y147" s="1"/>
  <c r="AB147" s="1"/>
  <c r="R147"/>
  <c r="W145"/>
  <c r="Y145" s="1"/>
  <c r="AB145" s="1"/>
  <c r="R145"/>
  <c r="W143"/>
  <c r="Y143" s="1"/>
  <c r="AB143" s="1"/>
  <c r="R143"/>
  <c r="W126"/>
  <c r="Y126" s="1"/>
  <c r="AB126" s="1"/>
  <c r="R126"/>
  <c r="W121"/>
  <c r="Y121" s="1"/>
  <c r="AB121" s="1"/>
  <c r="R121"/>
  <c r="W119"/>
  <c r="Y119" s="1"/>
  <c r="AB119" s="1"/>
  <c r="R119"/>
  <c r="W113"/>
  <c r="Y113" s="1"/>
  <c r="AB113" s="1"/>
  <c r="R113"/>
  <c r="R101"/>
  <c r="W101"/>
  <c r="Y101" s="1"/>
  <c r="AB101" s="1"/>
  <c r="AO254"/>
  <c r="AX254" s="1"/>
  <c r="AO253"/>
  <c r="AX253" s="1"/>
  <c r="AO251"/>
  <c r="AX251" s="1"/>
  <c r="AO249"/>
  <c r="AX249" s="1"/>
  <c r="AO228"/>
  <c r="AX228" s="1"/>
  <c r="AO168"/>
  <c r="AX168" s="1"/>
  <c r="R166"/>
  <c r="W166"/>
  <c r="Y166" s="1"/>
  <c r="AB166" s="1"/>
  <c r="R164"/>
  <c r="W164"/>
  <c r="Y164" s="1"/>
  <c r="AB164" s="1"/>
  <c r="R162"/>
  <c r="W162"/>
  <c r="Y162" s="1"/>
  <c r="AB162" s="1"/>
  <c r="R160"/>
  <c r="W160"/>
  <c r="Y160" s="1"/>
  <c r="AB160" s="1"/>
  <c r="AO158"/>
  <c r="AX158" s="1"/>
  <c r="R156"/>
  <c r="W156"/>
  <c r="Y156" s="1"/>
  <c r="AB156" s="1"/>
  <c r="AO154"/>
  <c r="AX154" s="1"/>
  <c r="R148"/>
  <c r="W148"/>
  <c r="Y148" s="1"/>
  <c r="AB148" s="1"/>
  <c r="R146"/>
  <c r="W146"/>
  <c r="Y146" s="1"/>
  <c r="AB146" s="1"/>
  <c r="R144"/>
  <c r="W144"/>
  <c r="Y144" s="1"/>
  <c r="AB144" s="1"/>
  <c r="R142"/>
  <c r="W142"/>
  <c r="Y142" s="1"/>
  <c r="AB142" s="1"/>
  <c r="R141"/>
  <c r="O7"/>
  <c r="AO97"/>
  <c r="AX97" s="1"/>
  <c r="AO93"/>
  <c r="AX93" s="1"/>
  <c r="AO89"/>
  <c r="AX89" s="1"/>
  <c r="W86"/>
  <c r="Y86" s="1"/>
  <c r="AB86" s="1"/>
  <c r="R86"/>
  <c r="W84"/>
  <c r="Y84" s="1"/>
  <c r="AB84" s="1"/>
  <c r="R84"/>
  <c r="W82"/>
  <c r="Y82" s="1"/>
  <c r="AB82" s="1"/>
  <c r="R82"/>
  <c r="W80"/>
  <c r="Y80" s="1"/>
  <c r="AB80" s="1"/>
  <c r="R80"/>
  <c r="W75"/>
  <c r="Y75" s="1"/>
  <c r="AB75" s="1"/>
  <c r="R75"/>
  <c r="W73"/>
  <c r="Y73" s="1"/>
  <c r="AB73" s="1"/>
  <c r="R73"/>
  <c r="W69"/>
  <c r="Y69" s="1"/>
  <c r="AB69" s="1"/>
  <c r="R69"/>
  <c r="W67"/>
  <c r="Y67" s="1"/>
  <c r="AB67" s="1"/>
  <c r="R67"/>
  <c r="W65"/>
  <c r="Y65" s="1"/>
  <c r="AB65" s="1"/>
  <c r="R65"/>
  <c r="W63"/>
  <c r="Y63" s="1"/>
  <c r="AB63" s="1"/>
  <c r="R63"/>
  <c r="W61"/>
  <c r="Y61" s="1"/>
  <c r="AB61" s="1"/>
  <c r="R61"/>
  <c r="W57"/>
  <c r="Y57" s="1"/>
  <c r="AB57" s="1"/>
  <c r="R57"/>
  <c r="W56"/>
  <c r="Y56" s="1"/>
  <c r="AB56" s="1"/>
  <c r="R56"/>
  <c r="W54"/>
  <c r="Y54" s="1"/>
  <c r="AB54" s="1"/>
  <c r="R54"/>
  <c r="W47"/>
  <c r="Y47" s="1"/>
  <c r="AB47" s="1"/>
  <c r="R47"/>
  <c r="W37"/>
  <c r="Y37" s="1"/>
  <c r="AB37" s="1"/>
  <c r="R37"/>
  <c r="W35"/>
  <c r="Y35" s="1"/>
  <c r="AB35" s="1"/>
  <c r="R35"/>
  <c r="W33"/>
  <c r="Y33" s="1"/>
  <c r="AB33" s="1"/>
  <c r="R33"/>
  <c r="W31"/>
  <c r="Y31" s="1"/>
  <c r="R31"/>
  <c r="W29"/>
  <c r="Y29" s="1"/>
  <c r="AB29" s="1"/>
  <c r="R29"/>
  <c r="W27"/>
  <c r="Y27" s="1"/>
  <c r="AB27" s="1"/>
  <c r="R27"/>
  <c r="W11"/>
  <c r="Y11" s="1"/>
  <c r="AB11" s="1"/>
  <c r="R11"/>
  <c r="W9"/>
  <c r="Y9" s="1"/>
  <c r="AB9" s="1"/>
  <c r="R9"/>
  <c r="Q261"/>
  <c r="AB265" s="1"/>
  <c r="W8"/>
  <c r="R8"/>
  <c r="AO189"/>
  <c r="AX189" s="1"/>
  <c r="AO177"/>
  <c r="AX177" s="1"/>
  <c r="AO139"/>
  <c r="AX139" s="1"/>
  <c r="AO99"/>
  <c r="AX99" s="1"/>
  <c r="AO48"/>
  <c r="AX48" s="1"/>
  <c r="AO174"/>
  <c r="AX174" s="1"/>
  <c r="AO170"/>
  <c r="AX170" s="1"/>
  <c r="AO150"/>
  <c r="AX150" s="1"/>
  <c r="AO136"/>
  <c r="AX136" s="1"/>
  <c r="AO122"/>
  <c r="AX122" s="1"/>
  <c r="AO118"/>
  <c r="AX118" s="1"/>
  <c r="AO117"/>
  <c r="AX117" s="1"/>
  <c r="AO115"/>
  <c r="AX115" s="1"/>
  <c r="AO111"/>
  <c r="AX111" s="1"/>
  <c r="AO110"/>
  <c r="AX110" s="1"/>
  <c r="AO108"/>
  <c r="AX108" s="1"/>
  <c r="AO106"/>
  <c r="AX106" s="1"/>
  <c r="AO104"/>
  <c r="AX104" s="1"/>
  <c r="AO102"/>
  <c r="AX102" s="1"/>
  <c r="AO98"/>
  <c r="AX98" s="1"/>
  <c r="AO94"/>
  <c r="AX94" s="1"/>
  <c r="AO90"/>
  <c r="AX90" s="1"/>
  <c r="AO24"/>
  <c r="AX24" s="1"/>
  <c r="AO22"/>
  <c r="AO19"/>
  <c r="AX19" s="1"/>
  <c r="AO17"/>
  <c r="AX17" s="1"/>
  <c r="AO14"/>
  <c r="AX14" s="1"/>
  <c r="AO87"/>
  <c r="AX87" s="1"/>
  <c r="AO77"/>
  <c r="AX77" s="1"/>
  <c r="AO72"/>
  <c r="AX72" s="1"/>
  <c r="AO71"/>
  <c r="AX71" s="1"/>
  <c r="AO58"/>
  <c r="AX58" s="1"/>
  <c r="AO52"/>
  <c r="AX52" s="1"/>
  <c r="AO51"/>
  <c r="AX51" s="1"/>
  <c r="AO49"/>
  <c r="AX49" s="1"/>
  <c r="AO45"/>
  <c r="AX45" s="1"/>
  <c r="AO44"/>
  <c r="AX44" s="1"/>
  <c r="AO42"/>
  <c r="AX42" s="1"/>
  <c r="AO40"/>
  <c r="AX40" s="1"/>
  <c r="AT261"/>
  <c r="P261"/>
  <c r="AW127"/>
  <c r="AX22" l="1"/>
  <c r="AX60"/>
  <c r="W261"/>
  <c r="W7"/>
  <c r="Y8"/>
  <c r="AP142"/>
  <c r="AW142" s="1"/>
  <c r="AK142"/>
  <c r="AD142"/>
  <c r="AP144"/>
  <c r="AW144" s="1"/>
  <c r="AK144"/>
  <c r="AD144"/>
  <c r="AP146"/>
  <c r="AW146" s="1"/>
  <c r="AK146"/>
  <c r="AD146"/>
  <c r="AD148"/>
  <c r="AP148"/>
  <c r="AW148" s="1"/>
  <c r="AK148"/>
  <c r="AD156"/>
  <c r="AP156"/>
  <c r="AW156" s="1"/>
  <c r="AK156"/>
  <c r="AP160"/>
  <c r="AW160" s="1"/>
  <c r="AK160"/>
  <c r="AD160"/>
  <c r="AP162"/>
  <c r="AW162" s="1"/>
  <c r="AK162"/>
  <c r="AD162"/>
  <c r="AP164"/>
  <c r="AW164" s="1"/>
  <c r="AK164"/>
  <c r="AD164"/>
  <c r="AP166"/>
  <c r="AW166" s="1"/>
  <c r="AK166"/>
  <c r="AD166"/>
  <c r="AP101"/>
  <c r="AW101" s="1"/>
  <c r="AK101"/>
  <c r="AD101"/>
  <c r="AP210"/>
  <c r="AW210" s="1"/>
  <c r="AK210"/>
  <c r="AD210"/>
  <c r="AO207"/>
  <c r="AX207" s="1"/>
  <c r="AD245"/>
  <c r="AP245"/>
  <c r="AW245" s="1"/>
  <c r="AK245"/>
  <c r="AP247"/>
  <c r="AW247" s="1"/>
  <c r="AK247"/>
  <c r="AD247"/>
  <c r="AD256"/>
  <c r="AP256"/>
  <c r="AW256" s="1"/>
  <c r="AK256"/>
  <c r="AD258"/>
  <c r="AP258"/>
  <c r="AW258" s="1"/>
  <c r="AK258"/>
  <c r="AD260"/>
  <c r="AB260"/>
  <c r="AO16"/>
  <c r="AX16" s="1"/>
  <c r="X261"/>
  <c r="X7"/>
  <c r="AP178"/>
  <c r="AW178" s="1"/>
  <c r="AK178"/>
  <c r="AD178"/>
  <c r="AP181"/>
  <c r="AW181" s="1"/>
  <c r="AK181"/>
  <c r="AD181"/>
  <c r="AP183"/>
  <c r="AW183" s="1"/>
  <c r="AK183"/>
  <c r="AD183"/>
  <c r="AD185"/>
  <c r="AP185"/>
  <c r="AW185" s="1"/>
  <c r="AK185"/>
  <c r="AP193"/>
  <c r="AW193" s="1"/>
  <c r="AK193"/>
  <c r="AD193"/>
  <c r="AP200"/>
  <c r="AW200" s="1"/>
  <c r="AK200"/>
  <c r="AD200"/>
  <c r="AP208"/>
  <c r="AW208" s="1"/>
  <c r="AK208"/>
  <c r="AD208"/>
  <c r="AP212"/>
  <c r="AK212"/>
  <c r="AD212"/>
  <c r="AP114"/>
  <c r="AW114" s="1"/>
  <c r="AK114"/>
  <c r="AD114"/>
  <c r="AP232"/>
  <c r="AW232" s="1"/>
  <c r="AK232"/>
  <c r="AD232"/>
  <c r="AP199"/>
  <c r="AW199" s="1"/>
  <c r="AK199"/>
  <c r="AD199"/>
  <c r="AD201"/>
  <c r="AK201"/>
  <c r="AP201"/>
  <c r="AW201" s="1"/>
  <c r="AP209"/>
  <c r="AW209" s="1"/>
  <c r="AK209"/>
  <c r="AD209"/>
  <c r="AP211"/>
  <c r="AW211" s="1"/>
  <c r="AK211"/>
  <c r="AD211"/>
  <c r="AB241"/>
  <c r="AW241"/>
  <c r="AD235"/>
  <c r="AP235"/>
  <c r="AW235" s="1"/>
  <c r="AK235"/>
  <c r="AD246"/>
  <c r="AP246"/>
  <c r="AW246" s="1"/>
  <c r="AK246"/>
  <c r="AD255"/>
  <c r="AP255"/>
  <c r="AW255" s="1"/>
  <c r="AK255"/>
  <c r="AD257"/>
  <c r="AP257"/>
  <c r="AW257" s="1"/>
  <c r="AK257"/>
  <c r="AD259"/>
  <c r="AP259"/>
  <c r="AW259" s="1"/>
  <c r="AK259"/>
  <c r="R261"/>
  <c r="R7"/>
  <c r="AK265"/>
  <c r="AO265" s="1"/>
  <c r="AP9"/>
  <c r="AW9" s="1"/>
  <c r="AK9"/>
  <c r="AD9"/>
  <c r="AP11"/>
  <c r="AW11" s="1"/>
  <c r="AK11"/>
  <c r="AD11"/>
  <c r="AP27"/>
  <c r="AW27" s="1"/>
  <c r="AK27"/>
  <c r="AD27"/>
  <c r="AP29"/>
  <c r="AW29" s="1"/>
  <c r="AK29"/>
  <c r="AD29"/>
  <c r="AB31"/>
  <c r="Y262"/>
  <c r="AP33"/>
  <c r="AW33" s="1"/>
  <c r="AK33"/>
  <c r="AD33"/>
  <c r="AP35"/>
  <c r="AW35" s="1"/>
  <c r="AK35"/>
  <c r="AD35"/>
  <c r="AP37"/>
  <c r="AW37" s="1"/>
  <c r="AK37"/>
  <c r="AD37"/>
  <c r="AP47"/>
  <c r="AW47" s="1"/>
  <c r="AK47"/>
  <c r="AD47"/>
  <c r="AP54"/>
  <c r="AW54" s="1"/>
  <c r="AK54"/>
  <c r="AD54"/>
  <c r="AB269"/>
  <c r="AD56"/>
  <c r="AP56"/>
  <c r="AW56" s="1"/>
  <c r="AK56"/>
  <c r="AP57"/>
  <c r="AW57" s="1"/>
  <c r="AK57"/>
  <c r="AD57"/>
  <c r="AP61"/>
  <c r="AW61" s="1"/>
  <c r="AK61"/>
  <c r="AD61"/>
  <c r="AP63"/>
  <c r="AW63" s="1"/>
  <c r="AK63"/>
  <c r="AD63"/>
  <c r="AP65"/>
  <c r="AW65" s="1"/>
  <c r="AK65"/>
  <c r="AD65"/>
  <c r="AP67"/>
  <c r="AW67" s="1"/>
  <c r="AK67"/>
  <c r="AD67"/>
  <c r="AP69"/>
  <c r="AW69" s="1"/>
  <c r="AK69"/>
  <c r="AD69"/>
  <c r="AP73"/>
  <c r="AW73" s="1"/>
  <c r="AK73"/>
  <c r="AD73"/>
  <c r="AP75"/>
  <c r="AW75" s="1"/>
  <c r="AK75"/>
  <c r="AD75"/>
  <c r="AP80"/>
  <c r="AW80" s="1"/>
  <c r="AK80"/>
  <c r="AD80"/>
  <c r="AP82"/>
  <c r="AW82" s="1"/>
  <c r="AK82"/>
  <c r="AD82"/>
  <c r="AP84"/>
  <c r="AW84" s="1"/>
  <c r="AK84"/>
  <c r="AD84"/>
  <c r="AP86"/>
  <c r="AW86" s="1"/>
  <c r="AK86"/>
  <c r="AD86"/>
  <c r="AD113"/>
  <c r="AP113"/>
  <c r="AW113" s="1"/>
  <c r="AK113"/>
  <c r="AD119"/>
  <c r="AP119"/>
  <c r="AW119" s="1"/>
  <c r="AK119"/>
  <c r="AP121"/>
  <c r="AW121" s="1"/>
  <c r="AK121"/>
  <c r="AD121"/>
  <c r="AD126"/>
  <c r="AP126"/>
  <c r="AW126" s="1"/>
  <c r="AK126"/>
  <c r="AP143"/>
  <c r="AW143" s="1"/>
  <c r="AK143"/>
  <c r="AD143"/>
  <c r="AP145"/>
  <c r="AW145" s="1"/>
  <c r="AK145"/>
  <c r="AD145"/>
  <c r="AP147"/>
  <c r="AW147" s="1"/>
  <c r="AK147"/>
  <c r="AD147"/>
  <c r="AP155"/>
  <c r="AW155" s="1"/>
  <c r="AK155"/>
  <c r="AD155"/>
  <c r="AP159"/>
  <c r="AW159" s="1"/>
  <c r="AK159"/>
  <c r="AD159"/>
  <c r="AP161"/>
  <c r="AW161" s="1"/>
  <c r="AK161"/>
  <c r="AD161"/>
  <c r="AP163"/>
  <c r="AW163" s="1"/>
  <c r="AK163"/>
  <c r="AD163"/>
  <c r="AP165"/>
  <c r="AW165" s="1"/>
  <c r="AK165"/>
  <c r="AD165"/>
  <c r="AP167"/>
  <c r="AW167" s="1"/>
  <c r="AK167"/>
  <c r="AD167"/>
  <c r="AP179"/>
  <c r="AW179" s="1"/>
  <c r="AK179"/>
  <c r="AD179"/>
  <c r="AP182"/>
  <c r="AW182" s="1"/>
  <c r="AK182"/>
  <c r="AD182"/>
  <c r="AP184"/>
  <c r="AW184" s="1"/>
  <c r="AK184"/>
  <c r="AD184"/>
  <c r="AP192"/>
  <c r="AW192" s="1"/>
  <c r="AK192"/>
  <c r="AD192"/>
  <c r="AP128"/>
  <c r="AW128" s="1"/>
  <c r="AK128"/>
  <c r="AD128"/>
  <c r="AP130"/>
  <c r="AW130" s="1"/>
  <c r="AK130"/>
  <c r="AD130"/>
  <c r="AP134"/>
  <c r="AW134" s="1"/>
  <c r="AK134"/>
  <c r="AD134"/>
  <c r="AO180"/>
  <c r="AX180" s="1"/>
  <c r="AP231"/>
  <c r="AW231" s="1"/>
  <c r="AK231"/>
  <c r="AD231"/>
  <c r="AD233"/>
  <c r="AK233"/>
  <c r="AP233"/>
  <c r="AW233" s="1"/>
  <c r="AO229"/>
  <c r="AX229" s="1"/>
  <c r="AP236"/>
  <c r="AW236" s="1"/>
  <c r="AK236"/>
  <c r="AD236"/>
  <c r="AO38"/>
  <c r="AX38" s="1"/>
  <c r="AP10"/>
  <c r="AW10" s="1"/>
  <c r="AK10"/>
  <c r="AD10"/>
  <c r="AD12"/>
  <c r="AP12"/>
  <c r="AW12" s="1"/>
  <c r="AK12"/>
  <c r="AP28"/>
  <c r="AW28" s="1"/>
  <c r="AK28"/>
  <c r="AD28"/>
  <c r="AP30"/>
  <c r="AW30" s="1"/>
  <c r="AK30"/>
  <c r="AD30"/>
  <c r="AP32"/>
  <c r="AW32" s="1"/>
  <c r="AK32"/>
  <c r="AD32"/>
  <c r="AP34"/>
  <c r="AW34" s="1"/>
  <c r="AK34"/>
  <c r="AD34"/>
  <c r="AP36"/>
  <c r="AW36" s="1"/>
  <c r="AK36"/>
  <c r="AD36"/>
  <c r="AP46"/>
  <c r="AW46" s="1"/>
  <c r="AK46"/>
  <c r="AD46"/>
  <c r="AP53"/>
  <c r="AW53" s="1"/>
  <c r="AK53"/>
  <c r="AD53"/>
  <c r="AP55"/>
  <c r="AW55" s="1"/>
  <c r="AK55"/>
  <c r="AD55"/>
  <c r="AP59"/>
  <c r="AW59" s="1"/>
  <c r="AK59"/>
  <c r="AD59"/>
  <c r="AP62"/>
  <c r="AW62" s="1"/>
  <c r="AK62"/>
  <c r="AD62"/>
  <c r="AP64"/>
  <c r="AW64" s="1"/>
  <c r="AK64"/>
  <c r="AD64"/>
  <c r="AP66"/>
  <c r="AW66" s="1"/>
  <c r="AK66"/>
  <c r="AD66"/>
  <c r="AP68"/>
  <c r="AW68" s="1"/>
  <c r="AK68"/>
  <c r="AD68"/>
  <c r="AD70"/>
  <c r="AP70"/>
  <c r="AW70" s="1"/>
  <c r="AK70"/>
  <c r="AP74"/>
  <c r="AW74" s="1"/>
  <c r="AK74"/>
  <c r="AD74"/>
  <c r="AP76"/>
  <c r="AW76" s="1"/>
  <c r="AK76"/>
  <c r="AD76"/>
  <c r="AP81"/>
  <c r="AW81" s="1"/>
  <c r="AK81"/>
  <c r="AD81"/>
  <c r="AB267"/>
  <c r="AP83"/>
  <c r="AW83" s="1"/>
  <c r="AK83"/>
  <c r="AD83"/>
  <c r="AP85"/>
  <c r="AW85" s="1"/>
  <c r="AK85"/>
  <c r="AD85"/>
  <c r="AD100"/>
  <c r="AP100"/>
  <c r="AW100" s="1"/>
  <c r="AK100"/>
  <c r="AD112"/>
  <c r="AP112"/>
  <c r="AW112" s="1"/>
  <c r="AK112"/>
  <c r="AD120"/>
  <c r="AP120"/>
  <c r="AW120" s="1"/>
  <c r="AK120"/>
  <c r="AD125"/>
  <c r="AP125"/>
  <c r="AW125" s="1"/>
  <c r="AK125"/>
  <c r="AP129"/>
  <c r="AW129" s="1"/>
  <c r="AK129"/>
  <c r="AD129"/>
  <c r="AD131"/>
  <c r="AP131"/>
  <c r="AW131" s="1"/>
  <c r="AK131"/>
  <c r="AP135"/>
  <c r="AW135" s="1"/>
  <c r="AK135"/>
  <c r="AD135"/>
  <c r="AP141"/>
  <c r="AW141" s="1"/>
  <c r="AK141"/>
  <c r="AD141"/>
  <c r="AP230"/>
  <c r="AW230" s="1"/>
  <c r="AK230"/>
  <c r="AD230"/>
  <c r="AO27" l="1"/>
  <c r="AX27" s="1"/>
  <c r="AO9"/>
  <c r="AX9" s="1"/>
  <c r="AO259"/>
  <c r="AX259" s="1"/>
  <c r="AO255"/>
  <c r="AX255" s="1"/>
  <c r="AO235"/>
  <c r="AX235" s="1"/>
  <c r="AK241"/>
  <c r="AD241"/>
  <c r="AB268"/>
  <c r="AO211"/>
  <c r="AX211" s="1"/>
  <c r="AO201"/>
  <c r="AX201" s="1"/>
  <c r="AO232"/>
  <c r="AX232" s="1"/>
  <c r="AO212"/>
  <c r="AX212" s="1"/>
  <c r="AO200"/>
  <c r="AX200" s="1"/>
  <c r="AO181"/>
  <c r="AX181" s="1"/>
  <c r="AO256"/>
  <c r="AX256" s="1"/>
  <c r="AO247"/>
  <c r="AX247" s="1"/>
  <c r="AO245"/>
  <c r="AX245" s="1"/>
  <c r="AO210"/>
  <c r="AX210" s="1"/>
  <c r="AO166"/>
  <c r="AX166" s="1"/>
  <c r="AO162"/>
  <c r="AX162" s="1"/>
  <c r="AO148"/>
  <c r="AX148" s="1"/>
  <c r="AO146"/>
  <c r="AX146" s="1"/>
  <c r="AO142"/>
  <c r="AX142" s="1"/>
  <c r="Y261"/>
  <c r="AB8"/>
  <c r="Y7"/>
  <c r="AO230"/>
  <c r="AX230" s="1"/>
  <c r="AO135"/>
  <c r="AX135" s="1"/>
  <c r="AO131"/>
  <c r="AX131" s="1"/>
  <c r="AO129"/>
  <c r="AX129" s="1"/>
  <c r="AO125"/>
  <c r="AX125" s="1"/>
  <c r="AO112"/>
  <c r="AX112" s="1"/>
  <c r="AO83"/>
  <c r="AX83" s="1"/>
  <c r="AO81"/>
  <c r="AX81" s="1"/>
  <c r="AO74"/>
  <c r="AX74" s="1"/>
  <c r="AO70"/>
  <c r="AX70" s="1"/>
  <c r="AO68"/>
  <c r="AX68" s="1"/>
  <c r="AO64"/>
  <c r="AX64" s="1"/>
  <c r="AO59"/>
  <c r="AX59" s="1"/>
  <c r="AO53"/>
  <c r="AX53" s="1"/>
  <c r="AO36"/>
  <c r="AX36" s="1"/>
  <c r="AO32"/>
  <c r="AX32" s="1"/>
  <c r="AO28"/>
  <c r="AX28" s="1"/>
  <c r="AO12"/>
  <c r="AX12" s="1"/>
  <c r="AO10"/>
  <c r="AX10" s="1"/>
  <c r="AO233"/>
  <c r="AX233" s="1"/>
  <c r="AO134"/>
  <c r="AX134" s="1"/>
  <c r="AO128"/>
  <c r="AX128" s="1"/>
  <c r="AO184"/>
  <c r="AX184" s="1"/>
  <c r="AO179"/>
  <c r="AX179" s="1"/>
  <c r="AO165"/>
  <c r="AX165" s="1"/>
  <c r="AO161"/>
  <c r="AX161" s="1"/>
  <c r="AO155"/>
  <c r="AX155" s="1"/>
  <c r="AO145"/>
  <c r="AX145" s="1"/>
  <c r="AO113"/>
  <c r="AX113" s="1"/>
  <c r="AO86"/>
  <c r="AX86" s="1"/>
  <c r="AO82"/>
  <c r="AX82" s="1"/>
  <c r="AO75"/>
  <c r="AX75" s="1"/>
  <c r="AO69"/>
  <c r="AX69" s="1"/>
  <c r="AO65"/>
  <c r="AX65" s="1"/>
  <c r="AO61"/>
  <c r="AO54"/>
  <c r="AX54" s="1"/>
  <c r="AO37"/>
  <c r="AX37" s="1"/>
  <c r="AO33"/>
  <c r="AX33" s="1"/>
  <c r="AO141"/>
  <c r="AX141" s="1"/>
  <c r="AO120"/>
  <c r="AX120" s="1"/>
  <c r="AO100"/>
  <c r="AX100" s="1"/>
  <c r="AO85"/>
  <c r="AX85" s="1"/>
  <c r="AO76"/>
  <c r="AX76" s="1"/>
  <c r="AO66"/>
  <c r="AX66" s="1"/>
  <c r="AO62"/>
  <c r="AX62" s="1"/>
  <c r="AO55"/>
  <c r="AX55" s="1"/>
  <c r="AO46"/>
  <c r="AX46" s="1"/>
  <c r="AK268"/>
  <c r="AQ268" s="1"/>
  <c r="AO30"/>
  <c r="AO236"/>
  <c r="AX236" s="1"/>
  <c r="AO231"/>
  <c r="AX231" s="1"/>
  <c r="AO130"/>
  <c r="AX130" s="1"/>
  <c r="AO192"/>
  <c r="AX192" s="1"/>
  <c r="AO182"/>
  <c r="AX182" s="1"/>
  <c r="AO167"/>
  <c r="AX167" s="1"/>
  <c r="AO163"/>
  <c r="AX163" s="1"/>
  <c r="AO159"/>
  <c r="AX159" s="1"/>
  <c r="AO147"/>
  <c r="AX147" s="1"/>
  <c r="AO143"/>
  <c r="AX143" s="1"/>
  <c r="AO126"/>
  <c r="AX126" s="1"/>
  <c r="AO121"/>
  <c r="AX121" s="1"/>
  <c r="AO119"/>
  <c r="AX119" s="1"/>
  <c r="AO84"/>
  <c r="AX84" s="1"/>
  <c r="AO80"/>
  <c r="AX80" s="1"/>
  <c r="AO73"/>
  <c r="AX73" s="1"/>
  <c r="AO67"/>
  <c r="AX67" s="1"/>
  <c r="AO63"/>
  <c r="AX63" s="1"/>
  <c r="AO57"/>
  <c r="AX57" s="1"/>
  <c r="AK269"/>
  <c r="AQ269" s="1"/>
  <c r="AO56"/>
  <c r="AX56" s="1"/>
  <c r="AO47"/>
  <c r="AX47" s="1"/>
  <c r="AK267"/>
  <c r="AQ267" s="1"/>
  <c r="AP31"/>
  <c r="AW31" s="1"/>
  <c r="AK31"/>
  <c r="AD31"/>
  <c r="AO29"/>
  <c r="AX29" s="1"/>
  <c r="AO11"/>
  <c r="AX11" s="1"/>
  <c r="AO257"/>
  <c r="AX257" s="1"/>
  <c r="AO246"/>
  <c r="AX246" s="1"/>
  <c r="AO209"/>
  <c r="AX209" s="1"/>
  <c r="AO199"/>
  <c r="AX199" s="1"/>
  <c r="AO114"/>
  <c r="AX114" s="1"/>
  <c r="AR212"/>
  <c r="AW212" s="1"/>
  <c r="AO208"/>
  <c r="AX208" s="1"/>
  <c r="AO193"/>
  <c r="AX193" s="1"/>
  <c r="AO185"/>
  <c r="AX185" s="1"/>
  <c r="AO183"/>
  <c r="AX183" s="1"/>
  <c r="AO178"/>
  <c r="AX178" s="1"/>
  <c r="AP260"/>
  <c r="AW260" s="1"/>
  <c r="AK260"/>
  <c r="AO258"/>
  <c r="AX258" s="1"/>
  <c r="AO101"/>
  <c r="AX101" s="1"/>
  <c r="AO164"/>
  <c r="AX164" s="1"/>
  <c r="AO160"/>
  <c r="AX160" s="1"/>
  <c r="AO156"/>
  <c r="AX156" s="1"/>
  <c r="AO144"/>
  <c r="AX144" s="1"/>
  <c r="AQ270" l="1"/>
  <c r="AX35"/>
  <c r="AO268"/>
  <c r="AX61"/>
  <c r="AO270"/>
  <c r="AO269"/>
  <c r="AX30"/>
  <c r="AO31"/>
  <c r="AX31" s="1"/>
  <c r="AB266"/>
  <c r="AB270" s="1"/>
  <c r="AB261"/>
  <c r="AP8"/>
  <c r="AK8"/>
  <c r="AB7"/>
  <c r="AD8"/>
  <c r="AO260"/>
  <c r="AX260" s="1"/>
  <c r="AR261"/>
  <c r="AR7"/>
  <c r="AP261" l="1"/>
  <c r="AP7"/>
  <c r="AW8"/>
  <c r="AD261"/>
  <c r="AD7"/>
  <c r="AK261"/>
  <c r="AK266"/>
  <c r="AK270" s="1"/>
  <c r="AK7"/>
  <c r="AO8"/>
  <c r="AX8" l="1"/>
  <c r="AK271"/>
  <c r="AK272"/>
  <c r="AW261"/>
  <c r="AW7"/>
  <c r="AO272"/>
  <c r="AO261"/>
  <c r="AO7"/>
  <c r="AX261"/>
  <c r="AX7"/>
</calcChain>
</file>

<file path=xl/comments1.xml><?xml version="1.0" encoding="utf-8"?>
<comments xmlns="http://schemas.openxmlformats.org/spreadsheetml/2006/main">
  <authors>
    <author>Надежда Ю. Созинова</author>
  </authors>
  <commentList>
    <comment ref="Y124" authorId="0">
      <text>
        <r>
          <rPr>
            <b/>
            <sz val="9"/>
            <color indexed="81"/>
            <rFont val="Tahoma"/>
            <family val="2"/>
            <charset val="204"/>
          </rPr>
          <t>Надежда Ю. Созинова:</t>
        </r>
        <r>
          <rPr>
            <sz val="9"/>
            <color indexed="81"/>
            <rFont val="Tahoma"/>
            <family val="2"/>
            <charset val="204"/>
          </rPr>
          <t xml:space="preserve">
остаток субсидии 35376,1 перенесен на Адышево
</t>
        </r>
      </text>
    </comment>
    <comment ref="Y148" authorId="0">
      <text>
        <r>
          <rPr>
            <b/>
            <sz val="9"/>
            <color indexed="81"/>
            <rFont val="Tahoma"/>
            <family val="2"/>
            <charset val="204"/>
          </rPr>
          <t>Надежда Ю. Созинова:</t>
        </r>
        <r>
          <rPr>
            <sz val="9"/>
            <color indexed="81"/>
            <rFont val="Tahoma"/>
            <family val="2"/>
            <charset val="204"/>
          </rPr>
          <t xml:space="preserve">
остаток субсидии 25254,4 перенесен на Адышево
</t>
        </r>
      </text>
    </comment>
    <comment ref="Y198" authorId="0">
      <text>
        <r>
          <rPr>
            <b/>
            <sz val="9"/>
            <color indexed="81"/>
            <rFont val="Tahoma"/>
            <family val="2"/>
            <charset val="204"/>
          </rPr>
          <t>Надежда Ю. Созинова:</t>
        </r>
        <r>
          <rPr>
            <sz val="9"/>
            <color indexed="81"/>
            <rFont val="Tahoma"/>
            <family val="2"/>
            <charset val="204"/>
          </rPr>
          <t xml:space="preserve">
остаток 56875,88 перенесен на Адышево
 </t>
        </r>
      </text>
    </comment>
    <comment ref="Y201" authorId="0">
      <text>
        <r>
          <rPr>
            <b/>
            <sz val="9"/>
            <color indexed="81"/>
            <rFont val="Tahoma"/>
            <family val="2"/>
            <charset val="204"/>
          </rPr>
          <t>Надежда Ю. Созинова:</t>
        </r>
        <r>
          <rPr>
            <sz val="9"/>
            <color indexed="81"/>
            <rFont val="Tahoma"/>
            <family val="2"/>
            <charset val="204"/>
          </rPr>
          <t xml:space="preserve">
остаток субсидии 56875,88 перенесен на Адышево
</t>
        </r>
      </text>
    </comment>
    <comment ref="Y207" authorId="0">
      <text>
        <r>
          <rPr>
            <b/>
            <sz val="9"/>
            <color indexed="81"/>
            <rFont val="Tahoma"/>
            <family val="2"/>
            <charset val="204"/>
          </rPr>
          <t>Надежда Ю. Созинова:</t>
        </r>
        <r>
          <rPr>
            <sz val="9"/>
            <color indexed="81"/>
            <rFont val="Tahoma"/>
            <family val="2"/>
            <charset val="204"/>
          </rPr>
          <t xml:space="preserve">
остаток субсидии перенесен на Адышево
</t>
        </r>
      </text>
    </comment>
    <comment ref="Y229" authorId="0">
      <text>
        <r>
          <rPr>
            <b/>
            <sz val="9"/>
            <color indexed="81"/>
            <rFont val="Tahoma"/>
            <family val="2"/>
            <charset val="204"/>
          </rPr>
          <t>Надежда Ю. Созинова:</t>
        </r>
        <r>
          <rPr>
            <sz val="9"/>
            <color indexed="81"/>
            <rFont val="Tahoma"/>
            <family val="2"/>
            <charset val="204"/>
          </rPr>
          <t xml:space="preserve">
остаток 532354,75 перенесен на Адышево
</t>
        </r>
      </text>
    </comment>
  </commentList>
</comments>
</file>

<file path=xl/sharedStrings.xml><?xml version="1.0" encoding="utf-8"?>
<sst xmlns="http://schemas.openxmlformats.org/spreadsheetml/2006/main" count="1137" uniqueCount="410">
  <si>
    <t>Расчет лимита льготного краткосрочного кредита заемщикам, претендующим на получение льготного краткосрочного кредита в 2019 году</t>
  </si>
  <si>
    <t>№ п/п</t>
  </si>
  <si>
    <t>Наименование заемщика</t>
  </si>
  <si>
    <t>ИНН заемщика</t>
  </si>
  <si>
    <t>Направление  использования кредита</t>
  </si>
  <si>
    <t>Относится к малым формам (да /нет)</t>
  </si>
  <si>
    <t>Выручка, тыс. руб.</t>
  </si>
  <si>
    <t>Общая посевная площадь</t>
  </si>
  <si>
    <t>Планируемый месяц получения кредита</t>
  </si>
  <si>
    <t>Скорректированный месяц получения кредита</t>
  </si>
  <si>
    <t>Сумма льготного краткосрочного кредита, заявленная в Прогнозе на 2019 год, руб.</t>
  </si>
  <si>
    <t>Требуемая сумма субсидий по заявленным льготным краткосрочным кредитам, руб.</t>
  </si>
  <si>
    <t>Сумма льготного краткосрочного кредита относительно Плана льготного кредитования 950863310/158019206,25=0,606656…. И затем поститали в каком размере мы можем выдать кредит каждому заемщику в пределах Плана льготного кредитования, тоесть 2 355 160 179,03</t>
  </si>
  <si>
    <t>Лимит субсидий, установленный Планом льготного  кредитования МСХ РФ (без кредитов, принятых к субсидированию в 2018 году) на 17.01.2019, руб.</t>
  </si>
  <si>
    <t>Недостающая сумма лимита субсидий, установленного Планом МСХ РФ к требуемой сумме субсидий, руб.</t>
  </si>
  <si>
    <t>Коэффициент корректировки лимита субсидий, установленного Планом льготного  кредитования МСХ РФ к требуемой сумме субсидий по заявленным льготным краткосрочным кредитам, руб.</t>
  </si>
  <si>
    <t>Январь кредит. Кредиты одобренные комиссией в январе</t>
  </si>
  <si>
    <t>Использовано субсидий в январе (протокол от 28.01.2019)</t>
  </si>
  <si>
    <t>Лимит льготного краткосрочного кредита (максимальная сумма) по заемщикам Кировской области, претендующим на получение льготного краткосрочного кредита в 2019 году с учетом коэффициента корректировки, руб.(2 335 160 179,03-643240000=1 711 920 179,03)</t>
  </si>
  <si>
    <r>
      <t xml:space="preserve">Сумма субсидии по заемщикам Кировской области, претендующим на получение льготного краткосрочного кредита в 2019 году с учетом коэффициента корректировки </t>
    </r>
    <r>
      <rPr>
        <b/>
        <sz val="10"/>
        <color indexed="8"/>
        <rFont val="Times New Roman"/>
        <family val="1"/>
        <charset val="204"/>
      </rPr>
      <t>в соответствии с периодом получения кредита, заявленным в Прогнозе на 2019 год</t>
    </r>
    <r>
      <rPr>
        <sz val="10"/>
        <color indexed="8"/>
        <rFont val="Times New Roman"/>
        <family val="1"/>
        <charset val="204"/>
      </rPr>
      <t>, руб.(95 863 310-37 351 540=58511770)</t>
    </r>
  </si>
  <si>
    <r>
      <t xml:space="preserve">Максимальная сумма кредита по заемщикам, </t>
    </r>
    <r>
      <rPr>
        <b/>
        <sz val="10"/>
        <color indexed="8"/>
        <rFont val="Times New Roman"/>
        <family val="1"/>
        <charset val="204"/>
      </rPr>
      <t>в соответствии с периодом получения кредита, заявленным в Прогнозе на 2019 год</t>
    </r>
    <r>
      <rPr>
        <sz val="10"/>
        <color indexed="8"/>
        <rFont val="Times New Roman"/>
        <family val="1"/>
        <charset val="204"/>
      </rPr>
      <t>, руб.</t>
    </r>
  </si>
  <si>
    <t>Максимальная сумма субсидий по заемщикам с учетом коэффициента корректировки на 2019 год, руб.</t>
  </si>
  <si>
    <t>Использовано субсидий в феврале (протокол от 11.02.2019)</t>
  </si>
  <si>
    <t>Использовано субсидий в феврале (протокол от 25.02.2019)</t>
  </si>
  <si>
    <t>Остаток суммы субсидии по заемщикам на 01.04.2019 год, руб.</t>
  </si>
  <si>
    <t>Остаток суммы кредита по заемщикам на 2019 год, руб.</t>
  </si>
  <si>
    <r>
      <t xml:space="preserve">Максимальная сумма кредита по заемщикам, при условии получения кредита </t>
    </r>
    <r>
      <rPr>
        <b/>
        <sz val="10"/>
        <color indexed="8"/>
        <rFont val="Times New Roman"/>
        <family val="1"/>
        <charset val="204"/>
      </rPr>
      <t xml:space="preserve">в марте </t>
    </r>
    <r>
      <rPr>
        <sz val="10"/>
        <color indexed="8"/>
        <rFont val="Times New Roman"/>
        <family val="1"/>
        <charset val="204"/>
      </rPr>
      <t xml:space="preserve"> 2019 года, руб.</t>
    </r>
  </si>
  <si>
    <t>Использовано субсидий (протокол от 01.04.2019)</t>
  </si>
  <si>
    <t>ОТКАЗ от получения льготного кредита в сумме субсидий, рублей</t>
  </si>
  <si>
    <t>Использовано субсидий (протокол от 08.04.2019)</t>
  </si>
  <si>
    <t>Использовано субсидий (протокол от 15.04.2019)</t>
  </si>
  <si>
    <t>Использовано субсидий (протокол от 22.04.2019)</t>
  </si>
  <si>
    <t>Использовано субсидий (протокол от 29.04.2019)</t>
  </si>
  <si>
    <t>Остаток субсидии  на 01.05.2019</t>
  </si>
  <si>
    <t>Использовано субсидий (протокол от 06.05.2019)</t>
  </si>
  <si>
    <t>Использовано субсидий (протокол от 20.05.2019)</t>
  </si>
  <si>
    <t>Использовано субсидий (протокол от27.05.2019)</t>
  </si>
  <si>
    <t>Остаток сумм субсидии по заемщикам на 2019 год, руб.</t>
  </si>
  <si>
    <r>
      <t xml:space="preserve">Максимальная сумма кредита по заемщикам, при условии получения кредита </t>
    </r>
    <r>
      <rPr>
        <b/>
        <sz val="10"/>
        <color indexed="8"/>
        <rFont val="Times New Roman"/>
        <family val="1"/>
        <charset val="204"/>
      </rPr>
      <t xml:space="preserve">в апреле </t>
    </r>
    <r>
      <rPr>
        <sz val="10"/>
        <color indexed="8"/>
        <rFont val="Times New Roman"/>
        <family val="1"/>
        <charset val="204"/>
      </rPr>
      <t xml:space="preserve"> 2019 года, руб.</t>
    </r>
  </si>
  <si>
    <t>Выбрано кредитов (протокол от 01.04.2019)</t>
  </si>
  <si>
    <t>ОТКАЗ от получения льготного кредита, рублей</t>
  </si>
  <si>
    <t>Выбрано кредитов (протокол от 08.04.2019)</t>
  </si>
  <si>
    <t>Выбрано кредитов (протокол от 15.04.2019)</t>
  </si>
  <si>
    <t>Выбрано кредитов (протокол от 22.04.2019)</t>
  </si>
  <si>
    <t>Выбрано кредитов (протокол от 29.04.2019)</t>
  </si>
  <si>
    <t>Остаток максимальной суммы кредита по заемщикам</t>
  </si>
  <si>
    <t>Выбрано кредитов (протокол от 06.05.2019)</t>
  </si>
  <si>
    <t>Выбрано кредитов (протокол от 20.05.2019)</t>
  </si>
  <si>
    <t>Выбрано кредитов (протокол от 27.05.2019)</t>
  </si>
  <si>
    <t>3</t>
  </si>
  <si>
    <t>скрыто</t>
  </si>
  <si>
    <t>9=7-8</t>
  </si>
  <si>
    <t>10=8/7</t>
  </si>
  <si>
    <t>ск</t>
  </si>
  <si>
    <t>Х</t>
  </si>
  <si>
    <t>СПК "Нива"</t>
  </si>
  <si>
    <t>4301002231</t>
  </si>
  <si>
    <t>растениеводство</t>
  </si>
  <si>
    <t>да</t>
  </si>
  <si>
    <t>июнь</t>
  </si>
  <si>
    <t>ООО "СХП "Родина"</t>
  </si>
  <si>
    <t>4301002305</t>
  </si>
  <si>
    <t>4301002306</t>
  </si>
  <si>
    <t>ООО "СХП "Виктория"</t>
  </si>
  <si>
    <t>4301002312</t>
  </si>
  <si>
    <t>ОАО "Агрофирма "Гордино"</t>
  </si>
  <si>
    <t>4302002058</t>
  </si>
  <si>
    <t xml:space="preserve">молочное скотоводство </t>
  </si>
  <si>
    <t>СПК Восход</t>
  </si>
  <si>
    <t>4303000991</t>
  </si>
  <si>
    <t>СПК "Быданово</t>
  </si>
  <si>
    <t>4303003992</t>
  </si>
  <si>
    <t>3 кв</t>
  </si>
  <si>
    <t>СПК "Луч"</t>
  </si>
  <si>
    <t>4303004019</t>
  </si>
  <si>
    <t>ООО "Суворовское"</t>
  </si>
  <si>
    <t>4303004499</t>
  </si>
  <si>
    <t>СХПК им.Кирова</t>
  </si>
  <si>
    <t>430300920</t>
  </si>
  <si>
    <t>Индивидуальный предприниматель Глава крестьянского (фермерского) хозяйства Кутявин Павел Владимирович</t>
  </si>
  <si>
    <t>430400047645</t>
  </si>
  <si>
    <t>май</t>
  </si>
  <si>
    <t>ЗАО "Агрофирма Среднеивкино"</t>
  </si>
  <si>
    <t>4306000319</t>
  </si>
  <si>
    <t>Растениеводство</t>
  </si>
  <si>
    <t>нет</t>
  </si>
  <si>
    <t>СПК "Угор"</t>
  </si>
  <si>
    <t>4306002789</t>
  </si>
  <si>
    <t>июль</t>
  </si>
  <si>
    <t>СПК "Звезда"</t>
  </si>
  <si>
    <t>4306002820</t>
  </si>
  <si>
    <t>ООО "СХП "Пунгино"</t>
  </si>
  <si>
    <t>4306003359</t>
  </si>
  <si>
    <t>ИП Окунев А.Н., глава КФХ</t>
  </si>
  <si>
    <t>430600743752</t>
  </si>
  <si>
    <t>ОАО "Вятско-Полянская птицефабрика"</t>
  </si>
  <si>
    <t>4307003680</t>
  </si>
  <si>
    <t>животноводство</t>
  </si>
  <si>
    <t>ООО "Согласие-2"</t>
  </si>
  <si>
    <t>4307005197</t>
  </si>
  <si>
    <t>ИП Медведева Г. А -глава КФХ</t>
  </si>
  <si>
    <t>430700726101</t>
  </si>
  <si>
    <t>апрель</t>
  </si>
  <si>
    <t>ООО "Русь"</t>
  </si>
  <si>
    <t>4307007733</t>
  </si>
  <si>
    <t>молочное скотоводство</t>
  </si>
  <si>
    <t>ООО "АПК "Союз"</t>
  </si>
  <si>
    <t>4307012290</t>
  </si>
  <si>
    <t>ООО "Родина-2"</t>
  </si>
  <si>
    <t>4307018213</t>
  </si>
  <si>
    <t>ИП глава КФХ Скурихин Юрий Александрович</t>
  </si>
  <si>
    <t>430800243010</t>
  </si>
  <si>
    <t>отказался</t>
  </si>
  <si>
    <t>Сельскохозяйственный производственный кооператив-колхоз "Коммунизм"</t>
  </si>
  <si>
    <t>43081000642</t>
  </si>
  <si>
    <t>СПК Племенной завод "Новый"</t>
  </si>
  <si>
    <t>4309000733</t>
  </si>
  <si>
    <t>СПК племзавод "Соколовка"</t>
  </si>
  <si>
    <t>4309003131</t>
  </si>
  <si>
    <t>ОАО "Племзавод Мухинский"</t>
  </si>
  <si>
    <t>4309004456</t>
  </si>
  <si>
    <t>ООО "Агрофирма "Мухино"</t>
  </si>
  <si>
    <t>4309006365</t>
  </si>
  <si>
    <t>ИП, глава К(Ф)Х Чернышева Ирина Васильевна</t>
  </si>
  <si>
    <t>430901465562</t>
  </si>
  <si>
    <t>ИП, глава К(Ф)Х Дерендяева Татьяна Михайловна</t>
  </si>
  <si>
    <t>430900073379</t>
  </si>
  <si>
    <t>февраль</t>
  </si>
  <si>
    <t>СХА (колхоз)  «Надежда»</t>
  </si>
  <si>
    <t>4310000618</t>
  </si>
  <si>
    <t>август</t>
  </si>
  <si>
    <t>ООО «Вихаревский»</t>
  </si>
  <si>
    <t>4310033910</t>
  </si>
  <si>
    <t>СПК-колхоз «Заря»</t>
  </si>
  <si>
    <t>4310033934</t>
  </si>
  <si>
    <t>ООО Кировкая молочная компания</t>
  </si>
  <si>
    <t>4312021130</t>
  </si>
  <si>
    <t>ООО Кировская молочная компания</t>
  </si>
  <si>
    <t>СПК "Конып"</t>
  </si>
  <si>
    <t>4312025015</t>
  </si>
  <si>
    <t>ООО «Агрофирма «Чуваши»</t>
  </si>
  <si>
    <t>4312042109</t>
  </si>
  <si>
    <t>ООО "Агрофирма "Кстинино"</t>
  </si>
  <si>
    <t>4312042116</t>
  </si>
  <si>
    <t>ООО СХП "ПОЛОМСКОЕ"</t>
  </si>
  <si>
    <t>4312145337</t>
  </si>
  <si>
    <t>СПК колхоз "Искра"</t>
  </si>
  <si>
    <t>4313000060</t>
  </si>
  <si>
    <t>4кв</t>
  </si>
  <si>
    <t>СПК колхоз "Колос"</t>
  </si>
  <si>
    <t>4313001120</t>
  </si>
  <si>
    <t>Ип (Глава КФХ) Савков Никита Валерьевич</t>
  </si>
  <si>
    <t>431300147670</t>
  </si>
  <si>
    <t>ОАО "Янтарь"</t>
  </si>
  <si>
    <t>4313003261</t>
  </si>
  <si>
    <t>4313003262</t>
  </si>
  <si>
    <t>ООО Агрофирма колхоз "Путь Ленина"</t>
  </si>
  <si>
    <t>4313009601</t>
  </si>
  <si>
    <t>СПК  "Знамя Ленина"</t>
  </si>
  <si>
    <t>4314000231</t>
  </si>
  <si>
    <t>СПК "Красное Знамя"</t>
  </si>
  <si>
    <t>4314000369</t>
  </si>
  <si>
    <t>уточн.молочн.скотов</t>
  </si>
  <si>
    <t>СПК "Березниковский"</t>
  </si>
  <si>
    <t>4314000626</t>
  </si>
  <si>
    <t>ОАО "Вожгальский маслодельно-сыродельный завод"</t>
  </si>
  <si>
    <t>4314001235</t>
  </si>
  <si>
    <t>4314001236</t>
  </si>
  <si>
    <t>4314001237</t>
  </si>
  <si>
    <t>ООО "Верхобыстрица"</t>
  </si>
  <si>
    <t>4314004148</t>
  </si>
  <si>
    <t>ЗАО племзавод "Октябрьский"</t>
  </si>
  <si>
    <t>4314004250</t>
  </si>
  <si>
    <t>СПК племзавод "Красный Октябрь"</t>
  </si>
  <si>
    <t>431400721</t>
  </si>
  <si>
    <t>октябрь</t>
  </si>
  <si>
    <t>КФХ "Лада"</t>
  </si>
  <si>
    <t>4315000065</t>
  </si>
  <si>
    <t>КФХ "Исток"</t>
  </si>
  <si>
    <t>4315000629</t>
  </si>
  <si>
    <t>КФХ "Надежда"</t>
  </si>
  <si>
    <t>4315001157</t>
  </si>
  <si>
    <t>ООО "Лебяжское"</t>
  </si>
  <si>
    <t>4315007247</t>
  </si>
  <si>
    <t>ИП ГКФХ Алембаев Валерий Алексеевич</t>
  </si>
  <si>
    <t>431500902908</t>
  </si>
  <si>
    <t>СПК СА (колхоз) «Гигант»</t>
  </si>
  <si>
    <t>4317000487</t>
  </si>
  <si>
    <t>СПК СА (колхоз) имени Мичурина</t>
  </si>
  <si>
    <t>4317000712</t>
  </si>
  <si>
    <t>СПК СА (колхоз) «Зерновой»</t>
  </si>
  <si>
    <t>4317000800</t>
  </si>
  <si>
    <t>ОАО агрофирма «Калинино»</t>
  </si>
  <si>
    <t>4317004770</t>
  </si>
  <si>
    <t>ООО агрофирма «Савали»</t>
  </si>
  <si>
    <t>4317004876</t>
  </si>
  <si>
    <t>ООО агрофирма «Малмыж»</t>
  </si>
  <si>
    <t>4317005005</t>
  </si>
  <si>
    <t>АО агрофирма «Смаиль»</t>
  </si>
  <si>
    <t>4317005076</t>
  </si>
  <si>
    <t>ООО « Заря»</t>
  </si>
  <si>
    <t>4317005171</t>
  </si>
  <si>
    <t>СПК (колхоз) "Заря"</t>
  </si>
  <si>
    <t>4319000059</t>
  </si>
  <si>
    <t>ООО "Природа-Агро"</t>
  </si>
  <si>
    <t>4320003015</t>
  </si>
  <si>
    <t>АО "Агрофирма "Немский"</t>
  </si>
  <si>
    <t>4320003054</t>
  </si>
  <si>
    <t>СХА колхоз «Ерёминский»</t>
  </si>
  <si>
    <t>4321000257</t>
  </si>
  <si>
    <t>СХА колхоз «Восход»</t>
  </si>
  <si>
    <t>4321000391</t>
  </si>
  <si>
    <t>СПК племколхоз «Шварихинский»</t>
  </si>
  <si>
    <t>4321000465</t>
  </si>
  <si>
    <t>уточнили молочн.скотов</t>
  </si>
  <si>
    <t>май 4тыс.</t>
  </si>
  <si>
    <t>3кв.4тыс, 4кв.4тыс</t>
  </si>
  <si>
    <t>СПК колхоз «Ленинец»</t>
  </si>
  <si>
    <t>4321000666</t>
  </si>
  <si>
    <t>4321000667</t>
  </si>
  <si>
    <t>ООО «Майский»</t>
  </si>
  <si>
    <t>4321019321</t>
  </si>
  <si>
    <t xml:space="preserve">ИП, глава К(Ф)Х Медведева Елена </t>
  </si>
  <si>
    <t>432200039217</t>
  </si>
  <si>
    <t>ООО "Омутнинское рыбное хозяйство"</t>
  </si>
  <si>
    <t>4322010233</t>
  </si>
  <si>
    <t>ООО "АГРОФИРМА "КОРШИК"</t>
  </si>
  <si>
    <t>4324000760</t>
  </si>
  <si>
    <t>СПК племзавод "Гарский"</t>
  </si>
  <si>
    <t>4324000985</t>
  </si>
  <si>
    <t>ООО «Агрофирма «Адышево»</t>
  </si>
  <si>
    <t>4324007525</t>
  </si>
  <si>
    <t>июнь-сент</t>
  </si>
  <si>
    <t>ООО «Племзавод «Луговой»</t>
  </si>
  <si>
    <t>4324007532</t>
  </si>
  <si>
    <t>ООО "Вятский сельхозпроизводитель"</t>
  </si>
  <si>
    <t>4324008631</t>
  </si>
  <si>
    <t>уточн животнов</t>
  </si>
  <si>
    <t>АО "Лактис"</t>
  </si>
  <si>
    <t>4325000106</t>
  </si>
  <si>
    <t xml:space="preserve">СПК - колхоз "Ленинец" </t>
  </si>
  <si>
    <t>4325000177</t>
  </si>
  <si>
    <t>СХПК СА (колхоз) "Ошаевский"</t>
  </si>
  <si>
    <t>4325000280</t>
  </si>
  <si>
    <t>АО "Ижевское"</t>
  </si>
  <si>
    <t>4325002946</t>
  </si>
  <si>
    <t>АО "Ахмановское"</t>
  </si>
  <si>
    <t>4325003019</t>
  </si>
  <si>
    <t>СПК "Маяк"</t>
  </si>
  <si>
    <t>4326001159</t>
  </si>
  <si>
    <t>ООО "Подосиновский агрокомплекс"</t>
  </si>
  <si>
    <t>4326999882</t>
  </si>
  <si>
    <t>СХПК колхоз Заозерский</t>
  </si>
  <si>
    <t>4327000180</t>
  </si>
  <si>
    <t>ОАО Санчурский маслозавод</t>
  </si>
  <si>
    <t>4327000302</t>
  </si>
  <si>
    <t>уточнено молочное скотоводство</t>
  </si>
  <si>
    <t>ООО Рассвет</t>
  </si>
  <si>
    <t>4327003230</t>
  </si>
  <si>
    <t>Животноводство</t>
  </si>
  <si>
    <t>ООО "Октябрьское"</t>
  </si>
  <si>
    <t>4328002510</t>
  </si>
  <si>
    <t>ИП глава К(Ф)Х Азизов Рафик Кязым оглы ликвид</t>
  </si>
  <si>
    <t>43280093408</t>
  </si>
  <si>
    <t>ликвидирован</t>
  </si>
  <si>
    <t>СПК "Лекминский"</t>
  </si>
  <si>
    <t>4329000650</t>
  </si>
  <si>
    <t>развитие растениеводства</t>
  </si>
  <si>
    <t>СПК "Красная Талица"</t>
  </si>
  <si>
    <t>4329004510</t>
  </si>
  <si>
    <t>Май 5 млн</t>
  </si>
  <si>
    <t>Июнь 5 млн</t>
  </si>
  <si>
    <t>ООО "Зверохозяйство "Вятка"</t>
  </si>
  <si>
    <t>4329008459</t>
  </si>
  <si>
    <t>развитие животноводства</t>
  </si>
  <si>
    <t>ООО "Агрофирма "Бобино-М"</t>
  </si>
  <si>
    <t>4329013466</t>
  </si>
  <si>
    <t>СХПК-СА (колхоз) "Лошкаринский"</t>
  </si>
  <si>
    <t>4330000655</t>
  </si>
  <si>
    <t>ООО "Советская агрофирма"</t>
  </si>
  <si>
    <t>4330004233</t>
  </si>
  <si>
    <t>ООО "Агрофирма Надежда"</t>
  </si>
  <si>
    <t>4330004554</t>
  </si>
  <si>
    <t>АО "Мокинское"</t>
  </si>
  <si>
    <t>4330004586</t>
  </si>
  <si>
    <t>уточн растен</t>
  </si>
  <si>
    <t>АО "Русь"</t>
  </si>
  <si>
    <t>4330005244</t>
  </si>
  <si>
    <t>АО "Прогресс"</t>
  </si>
  <si>
    <t>4330005886</t>
  </si>
  <si>
    <t>ООО "Торговый Дом Агро"</t>
  </si>
  <si>
    <t>4330007266</t>
  </si>
  <si>
    <t>апрель-май</t>
  </si>
  <si>
    <t>ООО "Агрохолдинг"</t>
  </si>
  <si>
    <t>4330007393</t>
  </si>
  <si>
    <t>ПСПК «Краснопольский»</t>
  </si>
  <si>
    <t>4331000023</t>
  </si>
  <si>
    <t>СПК (колхоз) «Сунский»</t>
  </si>
  <si>
    <t>4331000030</t>
  </si>
  <si>
    <t>СПК колхоз «Плельский»</t>
  </si>
  <si>
    <t>4331000136</t>
  </si>
  <si>
    <t>СПК колхоз «Большевик»</t>
  </si>
  <si>
    <t>4331000577</t>
  </si>
  <si>
    <t>ООО «Курчумское»</t>
  </si>
  <si>
    <t>4331002736</t>
  </si>
  <si>
    <t>4331002737</t>
  </si>
  <si>
    <t>4331002738</t>
  </si>
  <si>
    <t>ИП глава КФХ Кислицын  Олег Васильевич</t>
  </si>
  <si>
    <t>433200017663</t>
  </si>
  <si>
    <t>ИП глава КФХ Клепцов Владимир Александрович</t>
  </si>
  <si>
    <t>433200157205</t>
  </si>
  <si>
    <t>СПК колхоз "Новый"</t>
  </si>
  <si>
    <t>4332002489</t>
  </si>
  <si>
    <t>СХА (колхоз) "Грековский"</t>
  </si>
  <si>
    <t>4332006194</t>
  </si>
  <si>
    <t>4332006195</t>
  </si>
  <si>
    <t>ООО "СХП "Колос"</t>
  </si>
  <si>
    <t>4332006388</t>
  </si>
  <si>
    <t>СПК "Земледелец"</t>
  </si>
  <si>
    <t>4333002682</t>
  </si>
  <si>
    <t>ООО "СХП "Елгань"</t>
  </si>
  <si>
    <t>4333004320</t>
  </si>
  <si>
    <t>ООО "Дружба"</t>
  </si>
  <si>
    <t>4334005189</t>
  </si>
  <si>
    <t>апр</t>
  </si>
  <si>
    <t>ООО "Пригородное"</t>
  </si>
  <si>
    <t>4334006224</t>
  </si>
  <si>
    <t>ООО "Агрофирма Строитель</t>
  </si>
  <si>
    <t>4334008253</t>
  </si>
  <si>
    <t>ООО имени Кирова</t>
  </si>
  <si>
    <t>4334008630</t>
  </si>
  <si>
    <t>СПК- колхоз имени Ленина</t>
  </si>
  <si>
    <t>4335000264</t>
  </si>
  <si>
    <t>СПК колхоз имени Свердлова</t>
  </si>
  <si>
    <t>4335000289</t>
  </si>
  <si>
    <t>ОАО «имени Кирова»</t>
  </si>
  <si>
    <t>4335003603</t>
  </si>
  <si>
    <t>ООО «СПП-Верхосунское»</t>
  </si>
  <si>
    <t>4335003716</t>
  </si>
  <si>
    <t>Индивидуальный предприниматель глава крестьянского (фермерского) хозяйства Лекомцев Павел Анатольевич</t>
  </si>
  <si>
    <t>433500689120</t>
  </si>
  <si>
    <t>Индивидуальный предприниматель глава крестьянского (фермерского) хозяйства Ефремов Александр Юрьевич</t>
  </si>
  <si>
    <t>433500905099</t>
  </si>
  <si>
    <t>ИП глава КФХ Русаков Сергей Вениаминович</t>
  </si>
  <si>
    <t>433600117077</t>
  </si>
  <si>
    <t>СХЗАО "Тохтинское"</t>
  </si>
  <si>
    <t>4336001694</t>
  </si>
  <si>
    <t>ООО Агрофирма "Пригородная"</t>
  </si>
  <si>
    <t>4336003405</t>
  </si>
  <si>
    <t>ООО Агрофирма "Новый путь"</t>
  </si>
  <si>
    <t>4336003451</t>
  </si>
  <si>
    <t>ООО "Кленовицкое"</t>
  </si>
  <si>
    <t>4336003518</t>
  </si>
  <si>
    <t>ООО Агрофирма "Чудиновская"</t>
  </si>
  <si>
    <t>4336003772</t>
  </si>
  <si>
    <t>Общество с ограниченной ответственностью "СЕЛЬСКОХОЗЯЙСТВЕННОЕ ПРЕДПРИЯТИЕ "ВЫСОКОГОРСКИЙ"</t>
  </si>
  <si>
    <t>4337004634</t>
  </si>
  <si>
    <t>01.0М</t>
  </si>
  <si>
    <t>ООО "Агрофирма Подгорцы"</t>
  </si>
  <si>
    <t>4338007740</t>
  </si>
  <si>
    <t>4338007741</t>
  </si>
  <si>
    <t>ООО "Новомедянское"</t>
  </si>
  <si>
    <t>4338009674</t>
  </si>
  <si>
    <t>КФХ Лукоянова Юрия Витальевича</t>
  </si>
  <si>
    <t>4339001195</t>
  </si>
  <si>
    <t>ООО "Луч"</t>
  </si>
  <si>
    <t>4339005930</t>
  </si>
  <si>
    <t>СПССК "Южный"</t>
  </si>
  <si>
    <t>4339008627</t>
  </si>
  <si>
    <t>ООО "Льнозавод Знаменский"</t>
  </si>
  <si>
    <t>4339009155</t>
  </si>
  <si>
    <t>ООО "Шалагинское"</t>
  </si>
  <si>
    <t>4339009268</t>
  </si>
  <si>
    <t>ИП глава КФХ Казаков Игорь Николаевич</t>
  </si>
  <si>
    <t>433901050926</t>
  </si>
  <si>
    <t>ИП глава КФХ Вершинин Олег Васильевич</t>
  </si>
  <si>
    <t>433901465328</t>
  </si>
  <si>
    <t>ИП глава КФХ Шестаков Владимир Николаевич</t>
  </si>
  <si>
    <t>433902567114</t>
  </si>
  <si>
    <t>АО "Кировский мясокомбинат"</t>
  </si>
  <si>
    <t>4345000217</t>
  </si>
  <si>
    <t>ЗАО "Кировский молочный комбинат"</t>
  </si>
  <si>
    <t>4345000295</t>
  </si>
  <si>
    <t>ООО АПК Мечта</t>
  </si>
  <si>
    <t>4345315792</t>
  </si>
  <si>
    <t>АО "Агрофирма "Дороничи"</t>
  </si>
  <si>
    <t>4346000273</t>
  </si>
  <si>
    <t>ЗАО "Агрокомбинат племзавод "Красногорский"</t>
  </si>
  <si>
    <t>4347004464</t>
  </si>
  <si>
    <t xml:space="preserve"> ОАО СХП «Кировское»</t>
  </si>
  <si>
    <t>4347006292</t>
  </si>
  <si>
    <t>ЗАО «Заречье»</t>
  </si>
  <si>
    <t>4348000230</t>
  </si>
  <si>
    <t>освоено за апрель</t>
  </si>
  <si>
    <t>остаток на 29.05</t>
  </si>
  <si>
    <t>мфх</t>
  </si>
  <si>
    <t>в т.ч направлен</t>
  </si>
  <si>
    <t>плюсовые</t>
  </si>
  <si>
    <t>по направл с МФХ</t>
  </si>
  <si>
    <t>растен</t>
  </si>
  <si>
    <t>раст</t>
  </si>
  <si>
    <t>животнов</t>
  </si>
  <si>
    <t>жив</t>
  </si>
  <si>
    <t>молочн скотов</t>
  </si>
  <si>
    <t>мол.ск.</t>
  </si>
  <si>
    <r>
      <t xml:space="preserve">Максимальная сумма кредита по заемщикам, при условии получения кредита </t>
    </r>
    <r>
      <rPr>
        <b/>
        <sz val="10"/>
        <color indexed="8"/>
        <rFont val="Times New Roman"/>
        <family val="1"/>
        <charset val="204"/>
      </rPr>
      <t xml:space="preserve">в июне </t>
    </r>
    <r>
      <rPr>
        <sz val="10"/>
        <color indexed="8"/>
        <rFont val="Times New Roman"/>
        <family val="1"/>
        <charset val="204"/>
      </rPr>
      <t>2019 года, руб.</t>
    </r>
  </si>
  <si>
    <t>потребность</t>
  </si>
  <si>
    <t>МФХ</t>
  </si>
  <si>
    <t>молочн.скот</t>
  </si>
  <si>
    <t>по состоянию на 01.06.2019</t>
  </si>
</sst>
</file>

<file path=xl/styles.xml><?xml version="1.0" encoding="utf-8"?>
<styleSheet xmlns="http://schemas.openxmlformats.org/spreadsheetml/2006/main">
  <numFmts count="7">
    <numFmt numFmtId="43" formatCode="_-* #,##0.00\ _₽_-;\-* #,##0.00\ _₽_-;_-* &quot;-&quot;??\ _₽_-;_-@_-"/>
    <numFmt numFmtId="164" formatCode="#,##0.00_ ;[Red]\-#,##0.00\ "/>
    <numFmt numFmtId="165" formatCode="#,##0.0000_ ;[Red]\-#,##0.0000\ "/>
    <numFmt numFmtId="166" formatCode="[$-419]mmmm\ yyyy;@"/>
    <numFmt numFmtId="167" formatCode="#,##0.000000000000000_ ;[Red]\-#,##0.000000000000000\ "/>
    <numFmt numFmtId="168" formatCode="_-* #,##0.00_р_._-;\-* #,##0.00_р_._-;_-* &quot;-&quot;??_р_._-;_-@_-"/>
    <numFmt numFmtId="169" formatCode="#,##0.00_ ;\-#,##0.00\ 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8"/>
      <name val="Arial"/>
      <family val="2"/>
      <charset val="204"/>
    </font>
    <font>
      <sz val="8"/>
      <color rgb="FF0000FF"/>
      <name val="Arial"/>
      <family val="2"/>
    </font>
    <font>
      <sz val="8"/>
      <color indexed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"/>
      <family val="2"/>
    </font>
    <font>
      <sz val="10"/>
      <color rgb="FF0000FF"/>
      <name val="Arial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258">
    <xf numFmtId="0" fontId="0" fillId="0" borderId="0" xfId="0"/>
    <xf numFmtId="0" fontId="3" fillId="0" borderId="0" xfId="0" applyFont="1" applyFill="1"/>
    <xf numFmtId="0" fontId="3" fillId="2" borderId="0" xfId="0" applyFont="1" applyFill="1"/>
    <xf numFmtId="0" fontId="3" fillId="3" borderId="0" xfId="0" applyFont="1" applyFill="1"/>
    <xf numFmtId="0" fontId="3" fillId="0" borderId="0" xfId="0" applyFont="1" applyFill="1" applyAlignment="1"/>
    <xf numFmtId="164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164" fontId="3" fillId="0" borderId="0" xfId="0" applyNumberFormat="1" applyFont="1" applyFill="1" applyAlignment="1"/>
    <xf numFmtId="0" fontId="4" fillId="0" borderId="0" xfId="0" applyFont="1" applyFill="1"/>
    <xf numFmtId="164" fontId="3" fillId="0" borderId="0" xfId="0" applyNumberFormat="1" applyFont="1" applyFill="1"/>
    <xf numFmtId="164" fontId="3" fillId="2" borderId="0" xfId="0" applyNumberFormat="1" applyFont="1" applyFill="1"/>
    <xf numFmtId="164" fontId="3" fillId="3" borderId="0" xfId="0" applyNumberFormat="1" applyFont="1" applyFill="1"/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wrapText="1"/>
    </xf>
    <xf numFmtId="0" fontId="3" fillId="0" borderId="3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3" fillId="3" borderId="4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wrapText="1"/>
    </xf>
    <xf numFmtId="3" fontId="4" fillId="0" borderId="3" xfId="0" applyNumberFormat="1" applyFont="1" applyFill="1" applyBorder="1" applyAlignment="1">
      <alignment wrapText="1"/>
    </xf>
    <xf numFmtId="164" fontId="7" fillId="0" borderId="3" xfId="0" applyNumberFormat="1" applyFont="1" applyFill="1" applyBorder="1" applyAlignment="1">
      <alignment wrapText="1"/>
    </xf>
    <xf numFmtId="164" fontId="4" fillId="0" borderId="3" xfId="0" applyNumberFormat="1" applyFont="1" applyFill="1" applyBorder="1" applyAlignment="1">
      <alignment wrapText="1"/>
    </xf>
    <xf numFmtId="164" fontId="4" fillId="0" borderId="3" xfId="0" applyNumberFormat="1" applyFont="1" applyFill="1" applyBorder="1" applyAlignment="1">
      <alignment horizontal="center" wrapText="1"/>
    </xf>
    <xf numFmtId="165" fontId="4" fillId="0" borderId="3" xfId="0" applyNumberFormat="1" applyFont="1" applyFill="1" applyBorder="1" applyAlignment="1">
      <alignment wrapText="1"/>
    </xf>
    <xf numFmtId="165" fontId="4" fillId="2" borderId="3" xfId="0" applyNumberFormat="1" applyFont="1" applyFill="1" applyBorder="1" applyAlignment="1">
      <alignment wrapText="1"/>
    </xf>
    <xf numFmtId="164" fontId="4" fillId="0" borderId="4" xfId="0" applyNumberFormat="1" applyFont="1" applyFill="1" applyBorder="1" applyAlignment="1">
      <alignment wrapText="1"/>
    </xf>
    <xf numFmtId="4" fontId="4" fillId="0" borderId="4" xfId="0" applyNumberFormat="1" applyFont="1" applyFill="1" applyBorder="1" applyAlignment="1">
      <alignment wrapText="1"/>
    </xf>
    <xf numFmtId="4" fontId="4" fillId="2" borderId="4" xfId="0" applyNumberFormat="1" applyFont="1" applyFill="1" applyBorder="1" applyAlignment="1">
      <alignment wrapText="1"/>
    </xf>
    <xf numFmtId="4" fontId="4" fillId="0" borderId="3" xfId="0" applyNumberFormat="1" applyFont="1" applyFill="1" applyBorder="1" applyAlignment="1">
      <alignment wrapText="1"/>
    </xf>
    <xf numFmtId="0" fontId="3" fillId="4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wrapText="1"/>
    </xf>
    <xf numFmtId="49" fontId="3" fillId="4" borderId="3" xfId="0" applyNumberFormat="1" applyFont="1" applyFill="1" applyBorder="1" applyAlignment="1">
      <alignment horizontal="center" wrapText="1"/>
    </xf>
    <xf numFmtId="4" fontId="3" fillId="4" borderId="3" xfId="0" applyNumberFormat="1" applyFont="1" applyFill="1" applyBorder="1" applyAlignment="1">
      <alignment wrapText="1"/>
    </xf>
    <xf numFmtId="166" fontId="3" fillId="4" borderId="3" xfId="0" applyNumberFormat="1" applyFont="1" applyFill="1" applyBorder="1" applyAlignment="1">
      <alignment horizontal="right" wrapText="1"/>
    </xf>
    <xf numFmtId="166" fontId="3" fillId="5" borderId="3" xfId="0" applyNumberFormat="1" applyFont="1" applyFill="1" applyBorder="1" applyAlignment="1">
      <alignment horizontal="right" wrapText="1"/>
    </xf>
    <xf numFmtId="3" fontId="3" fillId="4" borderId="3" xfId="0" applyNumberFormat="1" applyFont="1" applyFill="1" applyBorder="1" applyAlignment="1">
      <alignment wrapText="1"/>
    </xf>
    <xf numFmtId="10" fontId="3" fillId="4" borderId="3" xfId="2" applyNumberFormat="1" applyFont="1" applyFill="1" applyBorder="1" applyAlignment="1"/>
    <xf numFmtId="0" fontId="3" fillId="4" borderId="3" xfId="0" applyFont="1" applyFill="1" applyBorder="1" applyAlignment="1"/>
    <xf numFmtId="164" fontId="3" fillId="4" borderId="3" xfId="0" applyNumberFormat="1" applyFont="1" applyFill="1" applyBorder="1" applyAlignment="1"/>
    <xf numFmtId="167" fontId="8" fillId="4" borderId="3" xfId="0" applyNumberFormat="1" applyFont="1" applyFill="1" applyBorder="1" applyAlignment="1"/>
    <xf numFmtId="164" fontId="4" fillId="4" borderId="3" xfId="0" applyNumberFormat="1" applyFont="1" applyFill="1" applyBorder="1"/>
    <xf numFmtId="164" fontId="4" fillId="4" borderId="3" xfId="1" applyNumberFormat="1" applyFont="1" applyFill="1" applyBorder="1"/>
    <xf numFmtId="164" fontId="4" fillId="4" borderId="4" xfId="1" applyNumberFormat="1" applyFont="1" applyFill="1" applyBorder="1"/>
    <xf numFmtId="164" fontId="4" fillId="2" borderId="4" xfId="1" applyNumberFormat="1" applyFont="1" applyFill="1" applyBorder="1"/>
    <xf numFmtId="164" fontId="4" fillId="3" borderId="4" xfId="1" applyNumberFormat="1" applyFont="1" applyFill="1" applyBorder="1"/>
    <xf numFmtId="4" fontId="3" fillId="4" borderId="4" xfId="0" applyNumberFormat="1" applyFont="1" applyFill="1" applyBorder="1"/>
    <xf numFmtId="0" fontId="3" fillId="4" borderId="4" xfId="0" applyFont="1" applyFill="1" applyBorder="1"/>
    <xf numFmtId="0" fontId="3" fillId="2" borderId="4" xfId="0" applyFont="1" applyFill="1" applyBorder="1"/>
    <xf numFmtId="0" fontId="3" fillId="3" borderId="4" xfId="0" applyFont="1" applyFill="1" applyBorder="1"/>
    <xf numFmtId="4" fontId="3" fillId="4" borderId="3" xfId="0" applyNumberFormat="1" applyFont="1" applyFill="1" applyBorder="1"/>
    <xf numFmtId="0" fontId="3" fillId="4" borderId="3" xfId="0" applyFont="1" applyFill="1" applyBorder="1"/>
    <xf numFmtId="0" fontId="3" fillId="4" borderId="0" xfId="0" applyFont="1" applyFill="1"/>
    <xf numFmtId="0" fontId="9" fillId="6" borderId="3" xfId="0" applyFont="1" applyFill="1" applyBorder="1" applyAlignment="1">
      <alignment horizontal="center" wrapText="1"/>
    </xf>
    <xf numFmtId="0" fontId="9" fillId="6" borderId="3" xfId="0" applyFont="1" applyFill="1" applyBorder="1" applyAlignment="1">
      <alignment wrapText="1"/>
    </xf>
    <xf numFmtId="49" fontId="9" fillId="6" borderId="3" xfId="0" applyNumberFormat="1" applyFont="1" applyFill="1" applyBorder="1" applyAlignment="1">
      <alignment horizontal="center" wrapText="1"/>
    </xf>
    <xf numFmtId="0" fontId="3" fillId="6" borderId="3" xfId="0" applyFont="1" applyFill="1" applyBorder="1" applyAlignment="1">
      <alignment wrapText="1"/>
    </xf>
    <xf numFmtId="166" fontId="9" fillId="6" borderId="3" xfId="0" applyNumberFormat="1" applyFont="1" applyFill="1" applyBorder="1" applyAlignment="1">
      <alignment horizontal="right" wrapText="1"/>
    </xf>
    <xf numFmtId="3" fontId="9" fillId="6" borderId="3" xfId="0" applyNumberFormat="1" applyFont="1" applyFill="1" applyBorder="1" applyAlignment="1">
      <alignment wrapText="1"/>
    </xf>
    <xf numFmtId="164" fontId="9" fillId="6" borderId="3" xfId="0" applyNumberFormat="1" applyFont="1" applyFill="1" applyBorder="1" applyAlignment="1"/>
    <xf numFmtId="167" fontId="10" fillId="6" borderId="3" xfId="0" applyNumberFormat="1" applyFont="1" applyFill="1" applyBorder="1" applyAlignment="1"/>
    <xf numFmtId="0" fontId="9" fillId="6" borderId="3" xfId="0" applyFont="1" applyFill="1" applyBorder="1" applyAlignment="1"/>
    <xf numFmtId="164" fontId="11" fillId="6" borderId="3" xfId="0" applyNumberFormat="1" applyFont="1" applyFill="1" applyBorder="1"/>
    <xf numFmtId="164" fontId="11" fillId="6" borderId="3" xfId="1" applyNumberFormat="1" applyFont="1" applyFill="1" applyBorder="1"/>
    <xf numFmtId="164" fontId="11" fillId="6" borderId="4" xfId="1" applyNumberFormat="1" applyFont="1" applyFill="1" applyBorder="1"/>
    <xf numFmtId="4" fontId="6" fillId="6" borderId="4" xfId="0" applyNumberFormat="1" applyFont="1" applyFill="1" applyBorder="1"/>
    <xf numFmtId="4" fontId="3" fillId="4" borderId="3" xfId="0" applyNumberFormat="1" applyFont="1" applyFill="1" applyBorder="1" applyAlignment="1">
      <alignment horizontal="center" wrapText="1"/>
    </xf>
    <xf numFmtId="0" fontId="4" fillId="4" borderId="3" xfId="0" applyFont="1" applyFill="1" applyBorder="1"/>
    <xf numFmtId="169" fontId="3" fillId="4" borderId="3" xfId="1" applyNumberFormat="1" applyFont="1" applyFill="1" applyBorder="1"/>
    <xf numFmtId="0" fontId="11" fillId="6" borderId="3" xfId="0" applyFont="1" applyFill="1" applyBorder="1"/>
    <xf numFmtId="164" fontId="13" fillId="6" borderId="3" xfId="3" applyNumberFormat="1" applyFont="1" applyFill="1" applyBorder="1" applyAlignment="1">
      <alignment horizontal="right" wrapText="1"/>
    </xf>
    <xf numFmtId="4" fontId="14" fillId="4" borderId="3" xfId="0" applyNumberFormat="1" applyFont="1" applyFill="1" applyBorder="1" applyAlignment="1">
      <alignment horizontal="right" wrapText="1"/>
    </xf>
    <xf numFmtId="164" fontId="14" fillId="4" borderId="3" xfId="0" applyNumberFormat="1" applyFont="1" applyFill="1" applyBorder="1" applyAlignment="1">
      <alignment horizontal="right" wrapText="1"/>
    </xf>
    <xf numFmtId="0" fontId="3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wrapText="1"/>
    </xf>
    <xf numFmtId="4" fontId="3" fillId="2" borderId="3" xfId="0" applyNumberFormat="1" applyFont="1" applyFill="1" applyBorder="1" applyAlignment="1">
      <alignment wrapText="1"/>
    </xf>
    <xf numFmtId="166" fontId="3" fillId="2" borderId="3" xfId="0" applyNumberFormat="1" applyFont="1" applyFill="1" applyBorder="1" applyAlignment="1">
      <alignment horizontal="right" wrapText="1"/>
    </xf>
    <xf numFmtId="3" fontId="3" fillId="2" borderId="3" xfId="0" applyNumberFormat="1" applyFont="1" applyFill="1" applyBorder="1" applyAlignment="1">
      <alignment wrapText="1"/>
    </xf>
    <xf numFmtId="164" fontId="3" fillId="2" borderId="3" xfId="0" applyNumberFormat="1" applyFont="1" applyFill="1" applyBorder="1" applyAlignment="1"/>
    <xf numFmtId="167" fontId="8" fillId="2" borderId="3" xfId="0" applyNumberFormat="1" applyFont="1" applyFill="1" applyBorder="1" applyAlignment="1"/>
    <xf numFmtId="0" fontId="3" fillId="2" borderId="3" xfId="0" applyFont="1" applyFill="1" applyBorder="1" applyAlignment="1"/>
    <xf numFmtId="164" fontId="4" fillId="2" borderId="3" xfId="0" applyNumberFormat="1" applyFont="1" applyFill="1" applyBorder="1"/>
    <xf numFmtId="164" fontId="4" fillId="2" borderId="3" xfId="1" applyNumberFormat="1" applyFont="1" applyFill="1" applyBorder="1"/>
    <xf numFmtId="4" fontId="3" fillId="2" borderId="4" xfId="0" applyNumberFormat="1" applyFont="1" applyFill="1" applyBorder="1"/>
    <xf numFmtId="0" fontId="3" fillId="2" borderId="3" xfId="0" applyFont="1" applyFill="1" applyBorder="1"/>
    <xf numFmtId="49" fontId="3" fillId="2" borderId="3" xfId="0" applyNumberFormat="1" applyFont="1" applyFill="1" applyBorder="1" applyAlignment="1">
      <alignment horizontal="center" wrapText="1"/>
    </xf>
    <xf numFmtId="0" fontId="3" fillId="8" borderId="3" xfId="0" applyFont="1" applyFill="1" applyBorder="1" applyAlignment="1">
      <alignment wrapText="1"/>
    </xf>
    <xf numFmtId="10" fontId="3" fillId="2" borderId="3" xfId="2" applyNumberFormat="1" applyFont="1" applyFill="1" applyBorder="1" applyAlignment="1"/>
    <xf numFmtId="0" fontId="4" fillId="2" borderId="3" xfId="0" applyFont="1" applyFill="1" applyBorder="1"/>
    <xf numFmtId="4" fontId="3" fillId="3" borderId="4" xfId="0" applyNumberFormat="1" applyFont="1" applyFill="1" applyBorder="1"/>
    <xf numFmtId="4" fontId="3" fillId="4" borderId="4" xfId="1" applyNumberFormat="1" applyFont="1" applyFill="1" applyBorder="1"/>
    <xf numFmtId="166" fontId="6" fillId="4" borderId="3" xfId="0" applyNumberFormat="1" applyFont="1" applyFill="1" applyBorder="1" applyAlignment="1">
      <alignment horizontal="right" wrapText="1"/>
    </xf>
    <xf numFmtId="4" fontId="6" fillId="4" borderId="4" xfId="0" applyNumberFormat="1" applyFont="1" applyFill="1" applyBorder="1"/>
    <xf numFmtId="10" fontId="9" fillId="6" borderId="3" xfId="2" applyNumberFormat="1" applyFont="1" applyFill="1" applyBorder="1" applyAlignment="1"/>
    <xf numFmtId="4" fontId="13" fillId="6" borderId="3" xfId="3" applyNumberFormat="1" applyFont="1" applyFill="1" applyBorder="1" applyAlignment="1">
      <alignment horizontal="right" wrapText="1"/>
    </xf>
    <xf numFmtId="4" fontId="3" fillId="6" borderId="4" xfId="0" applyNumberFormat="1" applyFont="1" applyFill="1" applyBorder="1"/>
    <xf numFmtId="0" fontId="3" fillId="6" borderId="3" xfId="0" applyFont="1" applyFill="1" applyBorder="1" applyAlignment="1">
      <alignment horizontal="center" wrapText="1"/>
    </xf>
    <xf numFmtId="49" fontId="3" fillId="6" borderId="3" xfId="0" applyNumberFormat="1" applyFont="1" applyFill="1" applyBorder="1" applyAlignment="1">
      <alignment horizontal="center" wrapText="1"/>
    </xf>
    <xf numFmtId="166" fontId="3" fillId="6" borderId="3" xfId="0" applyNumberFormat="1" applyFont="1" applyFill="1" applyBorder="1" applyAlignment="1">
      <alignment horizontal="right" wrapText="1"/>
    </xf>
    <xf numFmtId="3" fontId="3" fillId="6" borderId="3" xfId="0" applyNumberFormat="1" applyFont="1" applyFill="1" applyBorder="1" applyAlignment="1">
      <alignment wrapText="1"/>
    </xf>
    <xf numFmtId="10" fontId="3" fillId="6" borderId="3" xfId="2" applyNumberFormat="1" applyFont="1" applyFill="1" applyBorder="1" applyAlignment="1"/>
    <xf numFmtId="0" fontId="3" fillId="6" borderId="3" xfId="0" applyFont="1" applyFill="1" applyBorder="1" applyAlignment="1"/>
    <xf numFmtId="164" fontId="3" fillId="6" borderId="3" xfId="0" applyNumberFormat="1" applyFont="1" applyFill="1" applyBorder="1" applyAlignment="1"/>
    <xf numFmtId="167" fontId="8" fillId="6" borderId="3" xfId="0" applyNumberFormat="1" applyFont="1" applyFill="1" applyBorder="1" applyAlignment="1"/>
    <xf numFmtId="164" fontId="4" fillId="6" borderId="3" xfId="0" applyNumberFormat="1" applyFont="1" applyFill="1" applyBorder="1"/>
    <xf numFmtId="164" fontId="4" fillId="6" borderId="3" xfId="1" applyNumberFormat="1" applyFont="1" applyFill="1" applyBorder="1"/>
    <xf numFmtId="164" fontId="4" fillId="6" borderId="4" xfId="1" applyNumberFormat="1" applyFont="1" applyFill="1" applyBorder="1"/>
    <xf numFmtId="164" fontId="16" fillId="6" borderId="3" xfId="0" applyNumberFormat="1" applyFont="1" applyFill="1" applyBorder="1"/>
    <xf numFmtId="164" fontId="16" fillId="6" borderId="3" xfId="1" applyNumberFormat="1" applyFont="1" applyFill="1" applyBorder="1"/>
    <xf numFmtId="164" fontId="16" fillId="6" borderId="4" xfId="1" applyNumberFormat="1" applyFont="1" applyFill="1" applyBorder="1"/>
    <xf numFmtId="0" fontId="17" fillId="6" borderId="3" xfId="0" applyFont="1" applyFill="1" applyBorder="1" applyAlignment="1">
      <alignment horizontal="center" wrapText="1"/>
    </xf>
    <xf numFmtId="0" fontId="17" fillId="6" borderId="3" xfId="0" applyFont="1" applyFill="1" applyBorder="1" applyAlignment="1">
      <alignment wrapText="1"/>
    </xf>
    <xf numFmtId="49" fontId="17" fillId="6" borderId="3" xfId="0" applyNumberFormat="1" applyFont="1" applyFill="1" applyBorder="1" applyAlignment="1">
      <alignment horizontal="center" wrapText="1"/>
    </xf>
    <xf numFmtId="166" fontId="17" fillId="6" borderId="3" xfId="0" applyNumberFormat="1" applyFont="1" applyFill="1" applyBorder="1" applyAlignment="1">
      <alignment horizontal="right" wrapText="1"/>
    </xf>
    <xf numFmtId="3" fontId="17" fillId="6" borderId="3" xfId="0" applyNumberFormat="1" applyFont="1" applyFill="1" applyBorder="1" applyAlignment="1">
      <alignment wrapText="1"/>
    </xf>
    <xf numFmtId="10" fontId="17" fillId="6" borderId="3" xfId="2" applyNumberFormat="1" applyFont="1" applyFill="1" applyBorder="1" applyAlignment="1"/>
    <xf numFmtId="0" fontId="17" fillId="6" borderId="3" xfId="0" applyFont="1" applyFill="1" applyBorder="1" applyAlignment="1"/>
    <xf numFmtId="164" fontId="17" fillId="6" borderId="3" xfId="0" applyNumberFormat="1" applyFont="1" applyFill="1" applyBorder="1" applyAlignment="1"/>
    <xf numFmtId="167" fontId="18" fillId="6" borderId="3" xfId="0" applyNumberFormat="1" applyFont="1" applyFill="1" applyBorder="1" applyAlignment="1"/>
    <xf numFmtId="164" fontId="19" fillId="6" borderId="3" xfId="0" applyNumberFormat="1" applyFont="1" applyFill="1" applyBorder="1"/>
    <xf numFmtId="0" fontId="19" fillId="6" borderId="3" xfId="0" applyFont="1" applyFill="1" applyBorder="1"/>
    <xf numFmtId="164" fontId="19" fillId="6" borderId="3" xfId="1" applyNumberFormat="1" applyFont="1" applyFill="1" applyBorder="1"/>
    <xf numFmtId="164" fontId="19" fillId="6" borderId="4" xfId="1" applyNumberFormat="1" applyFont="1" applyFill="1" applyBorder="1"/>
    <xf numFmtId="4" fontId="17" fillId="6" borderId="4" xfId="0" applyNumberFormat="1" applyFont="1" applyFill="1" applyBorder="1"/>
    <xf numFmtId="0" fontId="17" fillId="6" borderId="4" xfId="0" applyFont="1" applyFill="1" applyBorder="1"/>
    <xf numFmtId="4" fontId="17" fillId="6" borderId="3" xfId="0" applyNumberFormat="1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wrapText="1"/>
    </xf>
    <xf numFmtId="49" fontId="3" fillId="0" borderId="3" xfId="0" applyNumberFormat="1" applyFont="1" applyFill="1" applyBorder="1" applyAlignment="1">
      <alignment horizontal="center" wrapText="1"/>
    </xf>
    <xf numFmtId="166" fontId="3" fillId="0" borderId="3" xfId="0" applyNumberFormat="1" applyFont="1" applyFill="1" applyBorder="1" applyAlignment="1">
      <alignment horizontal="right" wrapText="1"/>
    </xf>
    <xf numFmtId="3" fontId="3" fillId="0" borderId="3" xfId="0" applyNumberFormat="1" applyFont="1" applyFill="1" applyBorder="1" applyAlignment="1">
      <alignment wrapText="1"/>
    </xf>
    <xf numFmtId="10" fontId="3" fillId="0" borderId="3" xfId="2" applyNumberFormat="1" applyFont="1" applyFill="1" applyBorder="1" applyAlignment="1"/>
    <xf numFmtId="0" fontId="3" fillId="0" borderId="3" xfId="0" applyFont="1" applyFill="1" applyBorder="1" applyAlignment="1"/>
    <xf numFmtId="164" fontId="3" fillId="0" borderId="3" xfId="0" applyNumberFormat="1" applyFont="1" applyFill="1" applyBorder="1" applyAlignment="1"/>
    <xf numFmtId="167" fontId="8" fillId="0" borderId="3" xfId="0" applyNumberFormat="1" applyFont="1" applyFill="1" applyBorder="1" applyAlignment="1"/>
    <xf numFmtId="164" fontId="4" fillId="0" borderId="3" xfId="0" applyNumberFormat="1" applyFont="1" applyFill="1" applyBorder="1"/>
    <xf numFmtId="0" fontId="4" fillId="0" borderId="3" xfId="0" applyFont="1" applyFill="1" applyBorder="1"/>
    <xf numFmtId="164" fontId="4" fillId="0" borderId="3" xfId="1" applyNumberFormat="1" applyFont="1" applyFill="1" applyBorder="1"/>
    <xf numFmtId="164" fontId="4" fillId="0" borderId="4" xfId="1" applyNumberFormat="1" applyFont="1" applyFill="1" applyBorder="1"/>
    <xf numFmtId="4" fontId="3" fillId="0" borderId="4" xfId="0" applyNumberFormat="1" applyFont="1" applyFill="1" applyBorder="1"/>
    <xf numFmtId="0" fontId="3" fillId="0" borderId="4" xfId="0" applyFont="1" applyFill="1" applyBorder="1"/>
    <xf numFmtId="4" fontId="14" fillId="4" borderId="3" xfId="3" applyNumberFormat="1" applyFont="1" applyFill="1" applyBorder="1" applyAlignment="1">
      <alignment horizontal="right" wrapText="1"/>
    </xf>
    <xf numFmtId="164" fontId="14" fillId="4" borderId="3" xfId="3" applyNumberFormat="1" applyFont="1" applyFill="1" applyBorder="1" applyAlignment="1">
      <alignment horizontal="right" wrapText="1"/>
    </xf>
    <xf numFmtId="168" fontId="3" fillId="4" borderId="3" xfId="1" applyNumberFormat="1" applyFont="1" applyFill="1" applyBorder="1"/>
    <xf numFmtId="0" fontId="3" fillId="9" borderId="3" xfId="0" applyFont="1" applyFill="1" applyBorder="1" applyAlignment="1">
      <alignment wrapText="1"/>
    </xf>
    <xf numFmtId="4" fontId="20" fillId="7" borderId="6" xfId="0" applyNumberFormat="1" applyFont="1" applyFill="1" applyBorder="1" applyAlignment="1">
      <alignment horizontal="center" wrapText="1"/>
    </xf>
    <xf numFmtId="4" fontId="20" fillId="7" borderId="0" xfId="0" applyNumberFormat="1" applyFont="1" applyFill="1" applyBorder="1" applyAlignment="1">
      <alignment horizontal="center" wrapText="1"/>
    </xf>
    <xf numFmtId="4" fontId="8" fillId="0" borderId="4" xfId="0" applyNumberFormat="1" applyFont="1" applyFill="1" applyBorder="1"/>
    <xf numFmtId="164" fontId="3" fillId="2" borderId="4" xfId="1" applyNumberFormat="1" applyFont="1" applyFill="1" applyBorder="1"/>
    <xf numFmtId="164" fontId="3" fillId="3" borderId="4" xfId="1" applyNumberFormat="1" applyFont="1" applyFill="1" applyBorder="1"/>
    <xf numFmtId="4" fontId="20" fillId="7" borderId="0" xfId="0" applyNumberFormat="1" applyFont="1" applyFill="1" applyBorder="1" applyAlignment="1">
      <alignment horizontal="right" vertical="center" wrapText="1"/>
    </xf>
    <xf numFmtId="4" fontId="11" fillId="6" borderId="3" xfId="0" applyNumberFormat="1" applyFont="1" applyFill="1" applyBorder="1"/>
    <xf numFmtId="4" fontId="4" fillId="0" borderId="3" xfId="0" applyNumberFormat="1" applyFont="1" applyFill="1" applyBorder="1"/>
    <xf numFmtId="4" fontId="4" fillId="4" borderId="3" xfId="0" applyNumberFormat="1" applyFont="1" applyFill="1" applyBorder="1"/>
    <xf numFmtId="166" fontId="6" fillId="0" borderId="3" xfId="0" applyNumberFormat="1" applyFont="1" applyFill="1" applyBorder="1" applyAlignment="1">
      <alignment horizontal="right" wrapText="1"/>
    </xf>
    <xf numFmtId="0" fontId="3" fillId="9" borderId="4" xfId="0" applyFont="1" applyFill="1" applyBorder="1"/>
    <xf numFmtId="164" fontId="13" fillId="6" borderId="3" xfId="0" applyNumberFormat="1" applyFont="1" applyFill="1" applyBorder="1" applyAlignment="1">
      <alignment horizontal="right" wrapText="1"/>
    </xf>
    <xf numFmtId="4" fontId="9" fillId="6" borderId="4" xfId="0" applyNumberFormat="1" applyFont="1" applyFill="1" applyBorder="1"/>
    <xf numFmtId="0" fontId="9" fillId="6" borderId="4" xfId="0" applyFont="1" applyFill="1" applyBorder="1"/>
    <xf numFmtId="164" fontId="4" fillId="9" borderId="3" xfId="0" applyNumberFormat="1" applyFont="1" applyFill="1" applyBorder="1"/>
    <xf numFmtId="0" fontId="3" fillId="6" borderId="4" xfId="0" applyFont="1" applyFill="1" applyBorder="1"/>
    <xf numFmtId="4" fontId="3" fillId="6" borderId="3" xfId="0" applyNumberFormat="1" applyFont="1" applyFill="1" applyBorder="1"/>
    <xf numFmtId="4" fontId="20" fillId="7" borderId="6" xfId="0" applyNumberFormat="1" applyFont="1" applyFill="1" applyBorder="1" applyAlignment="1">
      <alignment horizontal="right" wrapText="1"/>
    </xf>
    <xf numFmtId="0" fontId="21" fillId="6" borderId="3" xfId="3" applyFont="1" applyFill="1" applyBorder="1" applyAlignment="1">
      <alignment horizontal="left" wrapText="1"/>
    </xf>
    <xf numFmtId="49" fontId="13" fillId="6" borderId="3" xfId="3" applyNumberFormat="1" applyFont="1" applyFill="1" applyBorder="1" applyAlignment="1">
      <alignment horizontal="left" wrapText="1"/>
    </xf>
    <xf numFmtId="0" fontId="13" fillId="6" borderId="3" xfId="3" applyFont="1" applyFill="1" applyBorder="1" applyAlignment="1">
      <alignment horizontal="left" wrapText="1"/>
    </xf>
    <xf numFmtId="0" fontId="14" fillId="6" borderId="3" xfId="3" applyFont="1" applyFill="1" applyBorder="1" applyAlignment="1">
      <alignment horizontal="left" wrapText="1"/>
    </xf>
    <xf numFmtId="166" fontId="13" fillId="6" borderId="3" xfId="3" applyNumberFormat="1" applyFont="1" applyFill="1" applyBorder="1" applyAlignment="1">
      <alignment horizontal="left" wrapText="1"/>
    </xf>
    <xf numFmtId="4" fontId="9" fillId="6" borderId="3" xfId="0" applyNumberFormat="1" applyFont="1" applyFill="1" applyBorder="1" applyAlignment="1"/>
    <xf numFmtId="0" fontId="3" fillId="0" borderId="3" xfId="0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164" fontId="7" fillId="0" borderId="3" xfId="0" applyNumberFormat="1" applyFont="1" applyFill="1" applyBorder="1" applyAlignment="1"/>
    <xf numFmtId="164" fontId="4" fillId="0" borderId="3" xfId="0" applyNumberFormat="1" applyFont="1" applyFill="1" applyBorder="1" applyAlignment="1"/>
    <xf numFmtId="164" fontId="4" fillId="0" borderId="3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/>
    <xf numFmtId="164" fontId="4" fillId="0" borderId="4" xfId="0" applyNumberFormat="1" applyFont="1" applyFill="1" applyBorder="1" applyAlignment="1"/>
    <xf numFmtId="4" fontId="4" fillId="0" borderId="4" xfId="0" applyNumberFormat="1" applyFont="1" applyFill="1" applyBorder="1" applyAlignment="1"/>
    <xf numFmtId="4" fontId="16" fillId="0" borderId="4" xfId="0" applyNumberFormat="1" applyFont="1" applyFill="1" applyBorder="1" applyAlignment="1"/>
    <xf numFmtId="4" fontId="19" fillId="0" borderId="4" xfId="0" applyNumberFormat="1" applyFont="1" applyFill="1" applyBorder="1" applyAlignment="1"/>
    <xf numFmtId="4" fontId="19" fillId="2" borderId="4" xfId="0" applyNumberFormat="1" applyFont="1" applyFill="1" applyBorder="1" applyAlignment="1"/>
    <xf numFmtId="4" fontId="19" fillId="0" borderId="3" xfId="0" applyNumberFormat="1" applyFont="1" applyFill="1" applyBorder="1" applyAlignment="1"/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167" fontId="3" fillId="0" borderId="9" xfId="0" applyNumberFormat="1" applyFont="1" applyFill="1" applyBorder="1" applyAlignment="1"/>
    <xf numFmtId="164" fontId="4" fillId="0" borderId="0" xfId="0" applyNumberFormat="1" applyFont="1" applyFill="1"/>
    <xf numFmtId="164" fontId="4" fillId="2" borderId="0" xfId="0" applyNumberFormat="1" applyFont="1" applyFill="1"/>
    <xf numFmtId="164" fontId="4" fillId="3" borderId="0" xfId="0" applyNumberFormat="1" applyFont="1" applyFill="1"/>
    <xf numFmtId="164" fontId="4" fillId="0" borderId="0" xfId="0" applyNumberFormat="1" applyFont="1" applyFill="1" applyBorder="1"/>
    <xf numFmtId="164" fontId="3" fillId="0" borderId="3" xfId="0" applyNumberFormat="1" applyFont="1" applyFill="1" applyBorder="1"/>
    <xf numFmtId="164" fontId="3" fillId="0" borderId="0" xfId="0" applyNumberFormat="1" applyFont="1" applyFill="1" applyBorder="1"/>
    <xf numFmtId="4" fontId="3" fillId="0" borderId="3" xfId="0" applyNumberFormat="1" applyFont="1" applyFill="1" applyBorder="1"/>
    <xf numFmtId="164" fontId="3" fillId="2" borderId="0" xfId="0" applyNumberFormat="1" applyFont="1" applyFill="1" applyBorder="1"/>
    <xf numFmtId="164" fontId="3" fillId="3" borderId="0" xfId="0" applyNumberFormat="1" applyFont="1" applyFill="1" applyBorder="1"/>
    <xf numFmtId="0" fontId="3" fillId="0" borderId="0" xfId="0" applyFont="1" applyFill="1" applyBorder="1"/>
    <xf numFmtId="4" fontId="3" fillId="0" borderId="0" xfId="0" applyNumberFormat="1" applyFont="1" applyFill="1" applyBorder="1"/>
    <xf numFmtId="4" fontId="9" fillId="6" borderId="3" xfId="0" applyNumberFormat="1" applyFont="1" applyFill="1" applyBorder="1" applyAlignment="1">
      <alignment wrapText="1"/>
    </xf>
    <xf numFmtId="0" fontId="9" fillId="6" borderId="3" xfId="0" applyFont="1" applyFill="1" applyBorder="1"/>
    <xf numFmtId="0" fontId="9" fillId="6" borderId="0" xfId="0" applyFont="1" applyFill="1"/>
    <xf numFmtId="4" fontId="6" fillId="6" borderId="3" xfId="0" applyNumberFormat="1" applyFont="1" applyFill="1" applyBorder="1"/>
    <xf numFmtId="0" fontId="15" fillId="6" borderId="6" xfId="0" applyFont="1" applyFill="1" applyBorder="1" applyAlignment="1">
      <alignment horizontal="left" vertical="top" wrapText="1"/>
    </xf>
    <xf numFmtId="0" fontId="15" fillId="6" borderId="6" xfId="0" applyFont="1" applyFill="1" applyBorder="1" applyAlignment="1">
      <alignment horizontal="left" wrapText="1"/>
    </xf>
    <xf numFmtId="4" fontId="3" fillId="6" borderId="3" xfId="0" applyNumberFormat="1" applyFont="1" applyFill="1" applyBorder="1" applyAlignment="1">
      <alignment wrapText="1"/>
    </xf>
    <xf numFmtId="4" fontId="15" fillId="6" borderId="6" xfId="0" applyNumberFormat="1" applyFont="1" applyFill="1" applyBorder="1" applyAlignment="1">
      <alignment horizontal="right" wrapText="1"/>
    </xf>
    <xf numFmtId="4" fontId="15" fillId="6" borderId="0" xfId="0" applyNumberFormat="1" applyFont="1" applyFill="1" applyBorder="1" applyAlignment="1">
      <alignment horizontal="right" wrapText="1"/>
    </xf>
    <xf numFmtId="0" fontId="3" fillId="6" borderId="3" xfId="0" applyFont="1" applyFill="1" applyBorder="1"/>
    <xf numFmtId="0" fontId="3" fillId="6" borderId="0" xfId="0" applyFont="1" applyFill="1"/>
    <xf numFmtId="166" fontId="6" fillId="6" borderId="3" xfId="0" applyNumberFormat="1" applyFont="1" applyFill="1" applyBorder="1" applyAlignment="1">
      <alignment horizontal="right" wrapText="1"/>
    </xf>
    <xf numFmtId="0" fontId="6" fillId="6" borderId="4" xfId="0" applyFont="1" applyFill="1" applyBorder="1"/>
    <xf numFmtId="4" fontId="14" fillId="6" borderId="3" xfId="3" applyNumberFormat="1" applyFont="1" applyFill="1" applyBorder="1" applyAlignment="1">
      <alignment horizontal="right" wrapText="1"/>
    </xf>
    <xf numFmtId="164" fontId="14" fillId="6" borderId="3" xfId="3" applyNumberFormat="1" applyFont="1" applyFill="1" applyBorder="1" applyAlignment="1">
      <alignment horizontal="right" wrapText="1"/>
    </xf>
    <xf numFmtId="4" fontId="20" fillId="6" borderId="7" xfId="0" applyNumberFormat="1" applyFont="1" applyFill="1" applyBorder="1" applyAlignment="1">
      <alignment horizontal="center" wrapText="1"/>
    </xf>
    <xf numFmtId="4" fontId="20" fillId="6" borderId="3" xfId="0" applyNumberFormat="1" applyFont="1" applyFill="1" applyBorder="1" applyAlignment="1">
      <alignment horizontal="center" wrapText="1"/>
    </xf>
    <xf numFmtId="168" fontId="3" fillId="6" borderId="3" xfId="1" applyNumberFormat="1" applyFont="1" applyFill="1" applyBorder="1"/>
    <xf numFmtId="0" fontId="4" fillId="6" borderId="3" xfId="0" applyFont="1" applyFill="1" applyBorder="1"/>
    <xf numFmtId="4" fontId="20" fillId="6" borderId="8" xfId="0" applyNumberFormat="1" applyFont="1" applyFill="1" applyBorder="1" applyAlignment="1">
      <alignment horizontal="right" wrapText="1"/>
    </xf>
    <xf numFmtId="4" fontId="20" fillId="6" borderId="0" xfId="0" applyNumberFormat="1" applyFont="1" applyFill="1" applyBorder="1" applyAlignment="1">
      <alignment horizontal="right" vertical="center" wrapText="1"/>
    </xf>
    <xf numFmtId="4" fontId="13" fillId="6" borderId="3" xfId="0" applyNumberFormat="1" applyFont="1" applyFill="1" applyBorder="1" applyAlignment="1">
      <alignment horizontal="right" wrapText="1"/>
    </xf>
    <xf numFmtId="4" fontId="3" fillId="6" borderId="4" xfId="1" applyNumberFormat="1" applyFont="1" applyFill="1" applyBorder="1"/>
    <xf numFmtId="4" fontId="6" fillId="6" borderId="4" xfId="1" applyNumberFormat="1" applyFont="1" applyFill="1" applyBorder="1"/>
    <xf numFmtId="4" fontId="3" fillId="6" borderId="3" xfId="0" applyNumberFormat="1" applyFont="1" applyFill="1" applyBorder="1" applyAlignment="1"/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Процентный" xfId="2" builtinId="5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Maslennikova\Desktop\&#1042;&#1067;&#1041;&#1054;&#1056;&#1050;&#1040;%20&#1082;&#1088;&#1077;&#1076;&#1080;&#1090;&#1086;&#1074;%20-%202019%20&#1075;&#1086;&#1076;%20(&#1048;&#1085;&#1092;%20&#1076;&#1083;&#1103;%20&#1048;.&#1042;.&#1043;.)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 май"/>
      <sheetName val="Прогноз май (2)"/>
      <sheetName val="1"/>
      <sheetName val="2"/>
      <sheetName val="Прогноз декабрь"/>
      <sheetName val="Прогноз для И.В.Головк"/>
      <sheetName val="Рабочая"/>
      <sheetName val="28.01.19"/>
      <sheetName val="Расход объема субсидий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СХТ</v>
          </cell>
        </row>
        <row r="2">
          <cell r="A2" t="str">
            <v>Организация АПК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279"/>
  <sheetViews>
    <sheetView tabSelected="1" topLeftCell="I29" workbookViewId="0">
      <selection activeCell="AX35" sqref="AX35"/>
    </sheetView>
  </sheetViews>
  <sheetFormatPr defaultRowHeight="12.75"/>
  <cols>
    <col min="1" max="1" width="5.140625" style="206" customWidth="1"/>
    <col min="2" max="2" width="21.140625" style="4" customWidth="1"/>
    <col min="3" max="3" width="11.28515625" style="207" bestFit="1" customWidth="1"/>
    <col min="4" max="4" width="14.140625" style="4" customWidth="1"/>
    <col min="5" max="5" width="5.5703125" style="4" hidden="1" customWidth="1"/>
    <col min="6" max="7" width="15" style="4" hidden="1" customWidth="1"/>
    <col min="8" max="8" width="12.42578125" style="4" hidden="1" customWidth="1"/>
    <col min="9" max="9" width="12.140625" style="4" customWidth="1"/>
    <col min="10" max="10" width="13.140625" style="4" customWidth="1"/>
    <col min="11" max="11" width="5.5703125" style="5" hidden="1" customWidth="1"/>
    <col min="12" max="12" width="3.5703125" style="6" hidden="1" customWidth="1"/>
    <col min="13" max="13" width="5.28515625" style="6" hidden="1" customWidth="1"/>
    <col min="14" max="14" width="2.7109375" style="6" hidden="1" customWidth="1"/>
    <col min="15" max="15" width="11.85546875" style="7" customWidth="1"/>
    <col min="16" max="16" width="16.5703125" style="7" hidden="1" customWidth="1"/>
    <col min="17" max="18" width="12.42578125" style="7" customWidth="1"/>
    <col min="19" max="19" width="15.42578125" style="7" customWidth="1"/>
    <col min="20" max="20" width="13.42578125" style="7" hidden="1" customWidth="1"/>
    <col min="21" max="21" width="12.7109375" style="4" hidden="1" customWidth="1"/>
    <col min="22" max="22" width="14.42578125" style="7" customWidth="1"/>
    <col min="23" max="23" width="14.5703125" style="7" customWidth="1"/>
    <col min="24" max="24" width="15.42578125" style="8" customWidth="1"/>
    <col min="25" max="27" width="13" style="8" hidden="1" customWidth="1"/>
    <col min="28" max="28" width="15.140625" style="8" hidden="1" customWidth="1"/>
    <col min="29" max="29" width="15.42578125" style="8" hidden="1" customWidth="1"/>
    <col min="30" max="30" width="16.5703125" style="9" hidden="1" customWidth="1"/>
    <col min="31" max="31" width="13.85546875" style="9" hidden="1" customWidth="1"/>
    <col min="32" max="33" width="14.85546875" style="9" hidden="1" customWidth="1"/>
    <col min="34" max="35" width="14.85546875" style="10" hidden="1" customWidth="1"/>
    <col min="36" max="36" width="14.85546875" style="11" hidden="1" customWidth="1"/>
    <col min="37" max="37" width="14" style="9" hidden="1" customWidth="1"/>
    <col min="38" max="38" width="10.7109375" style="9" hidden="1" customWidth="1"/>
    <col min="39" max="39" width="11.7109375" style="9" hidden="1" customWidth="1"/>
    <col min="40" max="40" width="10.7109375" style="9" hidden="1" customWidth="1"/>
    <col min="41" max="41" width="12.7109375" style="9" customWidth="1"/>
    <col min="42" max="42" width="14.42578125" style="1" hidden="1" customWidth="1"/>
    <col min="43" max="44" width="12.5703125" style="1" hidden="1" customWidth="1"/>
    <col min="45" max="45" width="12.42578125" style="1" hidden="1" customWidth="1"/>
    <col min="46" max="47" width="13.140625" style="2" hidden="1" customWidth="1"/>
    <col min="48" max="48" width="13.140625" style="3" hidden="1" customWidth="1"/>
    <col min="49" max="49" width="13.7109375" style="1" hidden="1" customWidth="1"/>
    <col min="50" max="50" width="13.28515625" style="1" customWidth="1"/>
    <col min="51" max="51" width="10.5703125" style="1" hidden="1" customWidth="1"/>
    <col min="52" max="52" width="13.5703125" style="1" hidden="1" customWidth="1"/>
    <col min="53" max="53" width="11.28515625" style="1" hidden="1" customWidth="1"/>
    <col min="54" max="16384" width="9.140625" style="1"/>
  </cols>
  <sheetData>
    <row r="1" spans="1:53" ht="20.25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</row>
    <row r="2" spans="1:53">
      <c r="A2" s="248" t="s">
        <v>409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</row>
    <row r="3" spans="1:53">
      <c r="A3" s="12"/>
      <c r="B3" s="12"/>
      <c r="C3" s="13"/>
      <c r="D3" s="12"/>
      <c r="E3" s="12"/>
      <c r="F3" s="12"/>
      <c r="G3" s="12"/>
      <c r="H3" s="12"/>
      <c r="I3" s="12"/>
      <c r="J3" s="12"/>
      <c r="X3" s="14"/>
      <c r="Y3" s="14"/>
      <c r="Z3" s="14"/>
      <c r="AA3" s="14"/>
      <c r="AB3" s="14"/>
      <c r="AC3" s="14"/>
      <c r="AD3" s="14"/>
      <c r="AE3" s="15"/>
      <c r="AF3" s="15"/>
      <c r="AG3" s="15"/>
      <c r="AH3" s="16"/>
      <c r="AI3" s="16"/>
      <c r="AJ3" s="17"/>
      <c r="AK3" s="15"/>
      <c r="AL3" s="15"/>
      <c r="AM3" s="15"/>
      <c r="AN3" s="15"/>
      <c r="AO3" s="15"/>
    </row>
    <row r="4" spans="1:53" s="27" customFormat="1" ht="229.5">
      <c r="A4" s="245" t="s">
        <v>1</v>
      </c>
      <c r="B4" s="245" t="s">
        <v>2</v>
      </c>
      <c r="C4" s="253" t="s">
        <v>3</v>
      </c>
      <c r="D4" s="245" t="s">
        <v>4</v>
      </c>
      <c r="E4" s="245" t="s">
        <v>5</v>
      </c>
      <c r="F4" s="245" t="s">
        <v>6</v>
      </c>
      <c r="G4" s="245" t="s">
        <v>7</v>
      </c>
      <c r="H4" s="245" t="s">
        <v>8</v>
      </c>
      <c r="I4" s="18" t="s">
        <v>9</v>
      </c>
      <c r="J4" s="245" t="s">
        <v>10</v>
      </c>
      <c r="K4" s="19"/>
      <c r="L4" s="20"/>
      <c r="M4" s="20"/>
      <c r="N4" s="20"/>
      <c r="O4" s="249" t="s">
        <v>11</v>
      </c>
      <c r="P4" s="20" t="s">
        <v>12</v>
      </c>
      <c r="Q4" s="249" t="s">
        <v>13</v>
      </c>
      <c r="R4" s="249" t="s">
        <v>14</v>
      </c>
      <c r="S4" s="249" t="s">
        <v>15</v>
      </c>
      <c r="T4" s="19" t="s">
        <v>16</v>
      </c>
      <c r="U4" s="20" t="s">
        <v>17</v>
      </c>
      <c r="V4" s="249" t="s">
        <v>18</v>
      </c>
      <c r="W4" s="249" t="s">
        <v>19</v>
      </c>
      <c r="X4" s="245" t="s">
        <v>20</v>
      </c>
      <c r="Y4" s="245" t="s">
        <v>21</v>
      </c>
      <c r="Z4" s="18" t="s">
        <v>22</v>
      </c>
      <c r="AA4" s="18" t="s">
        <v>23</v>
      </c>
      <c r="AB4" s="21" t="s">
        <v>24</v>
      </c>
      <c r="AC4" s="255" t="s">
        <v>25</v>
      </c>
      <c r="AD4" s="245" t="s">
        <v>26</v>
      </c>
      <c r="AE4" s="20" t="s">
        <v>27</v>
      </c>
      <c r="AF4" s="22" t="s">
        <v>28</v>
      </c>
      <c r="AG4" s="20" t="s">
        <v>29</v>
      </c>
      <c r="AH4" s="23" t="s">
        <v>30</v>
      </c>
      <c r="AI4" s="23" t="s">
        <v>31</v>
      </c>
      <c r="AJ4" s="23" t="s">
        <v>32</v>
      </c>
      <c r="AK4" s="24" t="s">
        <v>33</v>
      </c>
      <c r="AL4" s="23" t="s">
        <v>34</v>
      </c>
      <c r="AM4" s="23" t="s">
        <v>35</v>
      </c>
      <c r="AN4" s="23" t="s">
        <v>36</v>
      </c>
      <c r="AO4" s="251" t="s">
        <v>37</v>
      </c>
      <c r="AP4" s="257" t="s">
        <v>38</v>
      </c>
      <c r="AQ4" s="25" t="s">
        <v>39</v>
      </c>
      <c r="AR4" s="22" t="s">
        <v>40</v>
      </c>
      <c r="AS4" s="25" t="s">
        <v>41</v>
      </c>
      <c r="AT4" s="26" t="s">
        <v>42</v>
      </c>
      <c r="AU4" s="26" t="s">
        <v>43</v>
      </c>
      <c r="AV4" s="26" t="s">
        <v>44</v>
      </c>
      <c r="AW4" s="24" t="s">
        <v>45</v>
      </c>
      <c r="AX4" s="257" t="s">
        <v>405</v>
      </c>
      <c r="AY4" s="23" t="s">
        <v>46</v>
      </c>
      <c r="AZ4" s="23" t="s">
        <v>47</v>
      </c>
      <c r="BA4" s="23" t="s">
        <v>48</v>
      </c>
    </row>
    <row r="5" spans="1:53" s="27" customFormat="1" ht="53.25" customHeight="1">
      <c r="A5" s="246"/>
      <c r="B5" s="246"/>
      <c r="C5" s="254"/>
      <c r="D5" s="246"/>
      <c r="E5" s="246"/>
      <c r="F5" s="246"/>
      <c r="G5" s="246"/>
      <c r="H5" s="246"/>
      <c r="I5" s="28"/>
      <c r="J5" s="246"/>
      <c r="K5" s="19"/>
      <c r="L5" s="20"/>
      <c r="M5" s="20"/>
      <c r="N5" s="20"/>
      <c r="O5" s="250"/>
      <c r="P5" s="20"/>
      <c r="Q5" s="250"/>
      <c r="R5" s="250"/>
      <c r="S5" s="250"/>
      <c r="T5" s="19"/>
      <c r="U5" s="20"/>
      <c r="V5" s="250"/>
      <c r="W5" s="250"/>
      <c r="X5" s="246"/>
      <c r="Y5" s="246"/>
      <c r="Z5" s="29"/>
      <c r="AA5" s="28"/>
      <c r="AB5" s="28"/>
      <c r="AC5" s="256"/>
      <c r="AD5" s="246"/>
      <c r="AE5" s="19"/>
      <c r="AF5" s="20"/>
      <c r="AG5" s="20"/>
      <c r="AH5" s="23"/>
      <c r="AI5" s="23"/>
      <c r="AJ5" s="30"/>
      <c r="AK5" s="20"/>
      <c r="AL5" s="20"/>
      <c r="AM5" s="20"/>
      <c r="AN5" s="20"/>
      <c r="AO5" s="252"/>
      <c r="AP5" s="257"/>
      <c r="AQ5" s="25"/>
      <c r="AR5" s="25"/>
      <c r="AS5" s="25"/>
      <c r="AT5" s="26"/>
      <c r="AU5" s="26"/>
      <c r="AV5" s="31"/>
      <c r="AW5" s="20"/>
      <c r="AX5" s="257"/>
      <c r="AY5" s="20"/>
    </row>
    <row r="6" spans="1:53" s="41" customFormat="1">
      <c r="A6" s="32">
        <v>1</v>
      </c>
      <c r="B6" s="32">
        <v>2</v>
      </c>
      <c r="C6" s="32" t="s">
        <v>49</v>
      </c>
      <c r="D6" s="32">
        <v>4</v>
      </c>
      <c r="E6" s="32"/>
      <c r="F6" s="32"/>
      <c r="G6" s="32"/>
      <c r="H6" s="32">
        <v>5</v>
      </c>
      <c r="I6" s="32">
        <v>5</v>
      </c>
      <c r="J6" s="32">
        <v>6</v>
      </c>
      <c r="K6" s="33"/>
      <c r="L6" s="33"/>
      <c r="M6" s="33"/>
      <c r="N6" s="33"/>
      <c r="O6" s="33">
        <v>7</v>
      </c>
      <c r="P6" s="33" t="s">
        <v>50</v>
      </c>
      <c r="Q6" s="33">
        <v>8</v>
      </c>
      <c r="R6" s="33" t="s">
        <v>51</v>
      </c>
      <c r="S6" s="33" t="s">
        <v>52</v>
      </c>
      <c r="T6" s="33" t="s">
        <v>50</v>
      </c>
      <c r="U6" s="33">
        <v>11</v>
      </c>
      <c r="V6" s="33">
        <v>11</v>
      </c>
      <c r="W6" s="33">
        <v>12</v>
      </c>
      <c r="X6" s="33">
        <v>13</v>
      </c>
      <c r="Y6" s="33">
        <v>14</v>
      </c>
      <c r="Z6" s="33">
        <v>14</v>
      </c>
      <c r="AA6" s="33">
        <v>15</v>
      </c>
      <c r="AB6" s="33">
        <v>16</v>
      </c>
      <c r="AC6" s="33" t="s">
        <v>53</v>
      </c>
      <c r="AD6" s="33" t="s">
        <v>53</v>
      </c>
      <c r="AE6" s="34">
        <v>17</v>
      </c>
      <c r="AF6" s="34"/>
      <c r="AG6" s="34"/>
      <c r="AH6" s="35"/>
      <c r="AI6" s="35"/>
      <c r="AJ6" s="36"/>
      <c r="AK6" s="37"/>
      <c r="AL6" s="34"/>
      <c r="AM6" s="34"/>
      <c r="AN6" s="34"/>
      <c r="AO6" s="34">
        <v>14</v>
      </c>
      <c r="AP6" s="33" t="s">
        <v>53</v>
      </c>
      <c r="AQ6" s="38">
        <v>19</v>
      </c>
      <c r="AR6" s="38"/>
      <c r="AS6" s="38"/>
      <c r="AT6" s="39"/>
      <c r="AU6" s="39"/>
      <c r="AV6" s="40"/>
      <c r="AW6" s="33"/>
      <c r="AX6" s="33">
        <v>15</v>
      </c>
      <c r="AY6" s="33"/>
    </row>
    <row r="7" spans="1:53" s="8" customFormat="1">
      <c r="A7" s="42"/>
      <c r="B7" s="42"/>
      <c r="C7" s="43"/>
      <c r="D7" s="42"/>
      <c r="E7" s="42"/>
      <c r="F7" s="42"/>
      <c r="G7" s="42"/>
      <c r="H7" s="44"/>
      <c r="I7" s="44"/>
      <c r="J7" s="45">
        <f>SUM(J8:J260)</f>
        <v>3882200000</v>
      </c>
      <c r="K7" s="46"/>
      <c r="L7" s="46"/>
      <c r="M7" s="46"/>
      <c r="N7" s="46"/>
      <c r="O7" s="45">
        <f t="shared" ref="O7:BA7" si="0">SUM(O8:O260)</f>
        <v>158019206.25</v>
      </c>
      <c r="P7" s="46">
        <f t="shared" si="0"/>
        <v>2355160179.0304556</v>
      </c>
      <c r="Q7" s="46">
        <v>95863310</v>
      </c>
      <c r="R7" s="46">
        <f>SUM(R8:R260)</f>
        <v>62155896.24999994</v>
      </c>
      <c r="S7" s="47" t="s">
        <v>54</v>
      </c>
      <c r="T7" s="46">
        <f>SUM(T8:T260)</f>
        <v>643240000</v>
      </c>
      <c r="U7" s="46">
        <f>SUM(U8:U260)</f>
        <v>37351540</v>
      </c>
      <c r="V7" s="45">
        <f t="shared" si="0"/>
        <v>1711920179.0304534</v>
      </c>
      <c r="W7" s="46">
        <f t="shared" si="0"/>
        <v>58511770.000000045</v>
      </c>
      <c r="X7" s="46">
        <f t="shared" si="0"/>
        <v>1711920179.0304534</v>
      </c>
      <c r="Y7" s="46">
        <f t="shared" si="0"/>
        <v>58511770.00000006</v>
      </c>
      <c r="Z7" s="46">
        <f t="shared" si="0"/>
        <v>34466565.230000004</v>
      </c>
      <c r="AA7" s="46">
        <f t="shared" si="0"/>
        <v>4112188.71</v>
      </c>
      <c r="AB7" s="48">
        <f t="shared" si="0"/>
        <v>17385200.989021912</v>
      </c>
      <c r="AC7" s="48">
        <f t="shared" si="0"/>
        <v>321216518.41163057</v>
      </c>
      <c r="AD7" s="48">
        <f t="shared" si="0"/>
        <v>333346938.65568453</v>
      </c>
      <c r="AE7" s="48">
        <f t="shared" si="0"/>
        <v>675218.13</v>
      </c>
      <c r="AF7" s="48">
        <f t="shared" si="0"/>
        <v>-4129356.95</v>
      </c>
      <c r="AG7" s="48">
        <f t="shared" si="0"/>
        <v>878850</v>
      </c>
      <c r="AH7" s="49">
        <f t="shared" si="0"/>
        <v>4828460.4799999995</v>
      </c>
      <c r="AI7" s="49">
        <f t="shared" si="0"/>
        <v>27990.78</v>
      </c>
      <c r="AJ7" s="49">
        <f t="shared" si="0"/>
        <v>821953.1100000001</v>
      </c>
      <c r="AK7" s="46">
        <f t="shared" si="0"/>
        <v>6023371.5390219036</v>
      </c>
      <c r="AL7" s="46">
        <f t="shared" si="0"/>
        <v>10533.76</v>
      </c>
      <c r="AM7" s="46">
        <f t="shared" si="0"/>
        <v>1913722.15</v>
      </c>
      <c r="AN7" s="46">
        <f t="shared" si="0"/>
        <v>52312.5</v>
      </c>
      <c r="AO7" s="46">
        <f t="shared" si="0"/>
        <v>3465553.1271456908</v>
      </c>
      <c r="AP7" s="50">
        <f t="shared" si="0"/>
        <v>374113635.74849546</v>
      </c>
      <c r="AQ7" s="51">
        <f t="shared" si="0"/>
        <v>14520820</v>
      </c>
      <c r="AR7" s="51">
        <f t="shared" si="0"/>
        <v>-88803375.1023729</v>
      </c>
      <c r="AS7" s="51">
        <f t="shared" si="0"/>
        <v>21000000</v>
      </c>
      <c r="AT7" s="52">
        <f t="shared" si="0"/>
        <v>120729999.99999999</v>
      </c>
      <c r="AU7" s="52">
        <f t="shared" si="0"/>
        <v>930000</v>
      </c>
      <c r="AV7" s="52">
        <f t="shared" si="0"/>
        <v>22479999.995081156</v>
      </c>
      <c r="AW7" s="53">
        <f t="shared" si="0"/>
        <v>105649440.65104164</v>
      </c>
      <c r="AX7" s="53">
        <f t="shared" si="0"/>
        <v>99370698.986256272</v>
      </c>
      <c r="AY7" s="53">
        <f t="shared" si="0"/>
        <v>350000</v>
      </c>
      <c r="AZ7" s="53">
        <f t="shared" si="0"/>
        <v>55200000</v>
      </c>
      <c r="BA7" s="53">
        <f t="shared" si="0"/>
        <v>1500000</v>
      </c>
    </row>
    <row r="8" spans="1:53" s="76" customFormat="1" ht="25.5">
      <c r="A8" s="54">
        <v>1</v>
      </c>
      <c r="B8" s="55" t="s">
        <v>55</v>
      </c>
      <c r="C8" s="56" t="s">
        <v>56</v>
      </c>
      <c r="D8" s="55" t="s">
        <v>57</v>
      </c>
      <c r="E8" s="55" t="s">
        <v>58</v>
      </c>
      <c r="F8" s="57">
        <v>14206</v>
      </c>
      <c r="G8" s="55"/>
      <c r="H8" s="58">
        <v>43497</v>
      </c>
      <c r="I8" s="59" t="s">
        <v>59</v>
      </c>
      <c r="J8" s="60">
        <v>2000000</v>
      </c>
      <c r="K8" s="61">
        <v>7.7499999999999999E-2</v>
      </c>
      <c r="L8" s="62">
        <v>0.9</v>
      </c>
      <c r="M8" s="63">
        <v>10</v>
      </c>
      <c r="N8" s="62">
        <v>12</v>
      </c>
      <c r="O8" s="63">
        <f>J8*K8*L8*M8/N8</f>
        <v>116250</v>
      </c>
      <c r="P8" s="63">
        <f>J8*0.606656065898319</f>
        <v>1213312.131796638</v>
      </c>
      <c r="Q8" s="63">
        <f>P8*K8*L8*M8/N8</f>
        <v>70523.767660679587</v>
      </c>
      <c r="R8" s="63">
        <f>O8-Q8</f>
        <v>45726.232339320413</v>
      </c>
      <c r="S8" s="64">
        <v>0.606656065898319</v>
      </c>
      <c r="T8" s="63"/>
      <c r="U8" s="62"/>
      <c r="V8" s="63">
        <f t="shared" ref="V8:W73" si="1">P8-T8</f>
        <v>1213312.131796638</v>
      </c>
      <c r="W8" s="63">
        <f t="shared" si="1"/>
        <v>70523.767660679587</v>
      </c>
      <c r="X8" s="65">
        <f>SUM(V8)</f>
        <v>1213312.131796638</v>
      </c>
      <c r="Y8" s="65">
        <f>SUM(W8)</f>
        <v>70523.767660679587</v>
      </c>
      <c r="Z8" s="65"/>
      <c r="AA8" s="65"/>
      <c r="AB8" s="65">
        <f>Y8-Z8-AA8</f>
        <v>70523.767660679587</v>
      </c>
      <c r="AC8" s="66">
        <v>1213312.131796638</v>
      </c>
      <c r="AD8" s="66">
        <f>AB8/K8/L8/9*N8</f>
        <v>1348124.5908851533</v>
      </c>
      <c r="AE8" s="66"/>
      <c r="AF8" s="67"/>
      <c r="AG8" s="67"/>
      <c r="AH8" s="68"/>
      <c r="AI8" s="68"/>
      <c r="AJ8" s="69"/>
      <c r="AK8" s="67">
        <f>AB8+AF8-AE8-AG8-AH8-AI8-AJ8</f>
        <v>70523.767660679587</v>
      </c>
      <c r="AL8" s="67"/>
      <c r="AM8" s="67"/>
      <c r="AN8" s="67"/>
      <c r="AO8" s="67">
        <f>AK8-AL8-AM8-AN8</f>
        <v>70523.767660679587</v>
      </c>
      <c r="AP8" s="70">
        <f t="shared" ref="AP8:AP47" si="2">AB8/K8/L8/8*N8</f>
        <v>1516640.1647457974</v>
      </c>
      <c r="AQ8" s="70"/>
      <c r="AR8" s="70"/>
      <c r="AS8" s="71"/>
      <c r="AT8" s="72"/>
      <c r="AU8" s="72"/>
      <c r="AV8" s="73"/>
      <c r="AW8" s="74">
        <f>AP8-AQ8+AR8-AS8-AT8-AU8-AV8</f>
        <v>1516640.1647457974</v>
      </c>
      <c r="AX8" s="74">
        <f>AO8/K8/L8/6*N8</f>
        <v>2022186.88632773</v>
      </c>
      <c r="AY8" s="75"/>
      <c r="AZ8" s="75"/>
      <c r="BA8" s="75"/>
    </row>
    <row r="9" spans="1:53" s="76" customFormat="1" ht="25.5">
      <c r="A9" s="54">
        <f>A8+1</f>
        <v>2</v>
      </c>
      <c r="B9" s="55" t="s">
        <v>60</v>
      </c>
      <c r="C9" s="56" t="s">
        <v>61</v>
      </c>
      <c r="D9" s="55" t="s">
        <v>57</v>
      </c>
      <c r="E9" s="55" t="s">
        <v>58</v>
      </c>
      <c r="F9" s="57">
        <v>56835</v>
      </c>
      <c r="G9" s="55"/>
      <c r="H9" s="58">
        <v>43497</v>
      </c>
      <c r="I9" s="59" t="s">
        <v>59</v>
      </c>
      <c r="J9" s="60">
        <v>2000000</v>
      </c>
      <c r="K9" s="61">
        <v>7.7499999999999999E-2</v>
      </c>
      <c r="L9" s="62">
        <v>0.9</v>
      </c>
      <c r="M9" s="63">
        <v>10</v>
      </c>
      <c r="N9" s="62">
        <v>12</v>
      </c>
      <c r="O9" s="63">
        <f t="shared" ref="O9:O74" si="3">J9*K9*L9*M9/N9</f>
        <v>116250</v>
      </c>
      <c r="P9" s="63">
        <f t="shared" ref="P9:P74" si="4">J9*0.606656065898319</f>
        <v>1213312.131796638</v>
      </c>
      <c r="Q9" s="63">
        <f t="shared" ref="Q9:Q74" si="5">P9*K9*L9*M9/N9</f>
        <v>70523.767660679587</v>
      </c>
      <c r="R9" s="63">
        <f t="shared" ref="R9:R74" si="6">O9-Q9</f>
        <v>45726.232339320413</v>
      </c>
      <c r="S9" s="64">
        <v>0.606656065898319</v>
      </c>
      <c r="T9" s="63"/>
      <c r="U9" s="62"/>
      <c r="V9" s="63">
        <f t="shared" si="1"/>
        <v>1213312.131796638</v>
      </c>
      <c r="W9" s="63">
        <f t="shared" si="1"/>
        <v>70523.767660679587</v>
      </c>
      <c r="X9" s="65">
        <f t="shared" ref="X9:Y73" si="7">SUM(V9)</f>
        <v>1213312.131796638</v>
      </c>
      <c r="Y9" s="65">
        <f t="shared" si="7"/>
        <v>70523.767660679587</v>
      </c>
      <c r="Z9" s="65"/>
      <c r="AA9" s="65"/>
      <c r="AB9" s="65">
        <f>Y9-Z9-AA9</f>
        <v>70523.767660679587</v>
      </c>
      <c r="AC9" s="66">
        <v>1577305.77133563</v>
      </c>
      <c r="AD9" s="66">
        <f>AB9/K9/L9/9*N9</f>
        <v>1348124.5908851533</v>
      </c>
      <c r="AE9" s="66"/>
      <c r="AF9" s="67"/>
      <c r="AG9" s="67"/>
      <c r="AH9" s="68"/>
      <c r="AI9" s="68"/>
      <c r="AJ9" s="69"/>
      <c r="AK9" s="67">
        <f t="shared" ref="AK9:AK73" si="8">AB9+AF9-AE9-AG9-AH9-AI9-AJ9</f>
        <v>70523.767660679587</v>
      </c>
      <c r="AL9" s="67"/>
      <c r="AM9" s="67"/>
      <c r="AN9" s="67"/>
      <c r="AO9" s="67">
        <f t="shared" ref="AO9:AO72" si="9">AK9-AL9-AM9-AN9</f>
        <v>70523.767660679587</v>
      </c>
      <c r="AP9" s="70">
        <f t="shared" si="2"/>
        <v>1516640.1647457974</v>
      </c>
      <c r="AQ9" s="70"/>
      <c r="AR9" s="70"/>
      <c r="AS9" s="71"/>
      <c r="AT9" s="72"/>
      <c r="AU9" s="72"/>
      <c r="AV9" s="73"/>
      <c r="AW9" s="74">
        <f t="shared" ref="AW9:AW73" si="10">AP9-AQ9+AR9-AS9-AT9-AU9-AV9</f>
        <v>1516640.1647457974</v>
      </c>
      <c r="AX9" s="74">
        <f t="shared" ref="AX9:AX72" si="11">AO9/K9/L9/6*N9</f>
        <v>2022186.88632773</v>
      </c>
      <c r="AY9" s="75"/>
      <c r="AZ9" s="75"/>
      <c r="BA9" s="75"/>
    </row>
    <row r="10" spans="1:53" s="76" customFormat="1" ht="25.5">
      <c r="A10" s="54">
        <f>A9+1</f>
        <v>3</v>
      </c>
      <c r="B10" s="55" t="s">
        <v>60</v>
      </c>
      <c r="C10" s="56" t="s">
        <v>62</v>
      </c>
      <c r="D10" s="55" t="s">
        <v>57</v>
      </c>
      <c r="E10" s="55" t="s">
        <v>58</v>
      </c>
      <c r="F10" s="57"/>
      <c r="G10" s="55"/>
      <c r="H10" s="58">
        <v>43709</v>
      </c>
      <c r="I10" s="58">
        <v>43709</v>
      </c>
      <c r="J10" s="60">
        <v>2000000</v>
      </c>
      <c r="K10" s="61">
        <v>7.7499999999999999E-2</v>
      </c>
      <c r="L10" s="62">
        <v>0.9</v>
      </c>
      <c r="M10" s="63">
        <v>3</v>
      </c>
      <c r="N10" s="62">
        <v>12</v>
      </c>
      <c r="O10" s="63">
        <f t="shared" si="3"/>
        <v>34875</v>
      </c>
      <c r="P10" s="63">
        <f t="shared" si="4"/>
        <v>1213312.131796638</v>
      </c>
      <c r="Q10" s="63">
        <f t="shared" si="5"/>
        <v>21157.130298203876</v>
      </c>
      <c r="R10" s="63">
        <f t="shared" si="6"/>
        <v>13717.869701796124</v>
      </c>
      <c r="S10" s="64">
        <v>0.606656065898319</v>
      </c>
      <c r="T10" s="63"/>
      <c r="U10" s="62"/>
      <c r="V10" s="63">
        <f t="shared" si="1"/>
        <v>1213312.131796638</v>
      </c>
      <c r="W10" s="63">
        <f t="shared" si="1"/>
        <v>21157.130298203876</v>
      </c>
      <c r="X10" s="65">
        <f t="shared" si="7"/>
        <v>1213312.131796638</v>
      </c>
      <c r="Y10" s="65">
        <f t="shared" si="7"/>
        <v>21157.130298203876</v>
      </c>
      <c r="Z10" s="65"/>
      <c r="AA10" s="65"/>
      <c r="AB10" s="65">
        <f>Y10-Z10-AA10</f>
        <v>21157.130298203876</v>
      </c>
      <c r="AC10" s="66">
        <v>0</v>
      </c>
      <c r="AD10" s="66">
        <f t="shared" ref="AD10:AD47" si="12">AB10/K10/L10/9*N10</f>
        <v>404437.37726554601</v>
      </c>
      <c r="AE10" s="66"/>
      <c r="AF10" s="67"/>
      <c r="AG10" s="67"/>
      <c r="AH10" s="68"/>
      <c r="AI10" s="68"/>
      <c r="AJ10" s="69"/>
      <c r="AK10" s="67">
        <f t="shared" si="8"/>
        <v>21157.130298203876</v>
      </c>
      <c r="AL10" s="67"/>
      <c r="AM10" s="67"/>
      <c r="AN10" s="67"/>
      <c r="AO10" s="67">
        <f t="shared" si="9"/>
        <v>21157.130298203876</v>
      </c>
      <c r="AP10" s="70">
        <f t="shared" si="2"/>
        <v>454992.04942373926</v>
      </c>
      <c r="AQ10" s="70"/>
      <c r="AR10" s="70"/>
      <c r="AS10" s="71"/>
      <c r="AT10" s="72"/>
      <c r="AU10" s="72"/>
      <c r="AV10" s="73"/>
      <c r="AW10" s="74">
        <f t="shared" si="10"/>
        <v>454992.04942373926</v>
      </c>
      <c r="AX10" s="74">
        <f t="shared" si="11"/>
        <v>606656.06589831901</v>
      </c>
      <c r="AY10" s="75"/>
      <c r="AZ10" s="75"/>
      <c r="BA10" s="75"/>
    </row>
    <row r="11" spans="1:53" s="76" customFormat="1" ht="25.5">
      <c r="A11" s="54">
        <f t="shared" ref="A11:A74" si="13">A10+1</f>
        <v>4</v>
      </c>
      <c r="B11" s="55" t="s">
        <v>63</v>
      </c>
      <c r="C11" s="56" t="s">
        <v>64</v>
      </c>
      <c r="D11" s="55" t="s">
        <v>57</v>
      </c>
      <c r="E11" s="55" t="s">
        <v>58</v>
      </c>
      <c r="F11" s="57">
        <v>41227</v>
      </c>
      <c r="G11" s="55"/>
      <c r="H11" s="58">
        <v>43556</v>
      </c>
      <c r="I11" s="58">
        <v>43556</v>
      </c>
      <c r="J11" s="60">
        <v>1500000</v>
      </c>
      <c r="K11" s="61">
        <v>7.7499999999999999E-2</v>
      </c>
      <c r="L11" s="62">
        <v>0.9</v>
      </c>
      <c r="M11" s="63">
        <v>8</v>
      </c>
      <c r="N11" s="62">
        <v>12</v>
      </c>
      <c r="O11" s="63">
        <f t="shared" si="3"/>
        <v>69750</v>
      </c>
      <c r="P11" s="63">
        <f t="shared" si="4"/>
        <v>909984.09884747851</v>
      </c>
      <c r="Q11" s="63">
        <f t="shared" si="5"/>
        <v>42314.260596407752</v>
      </c>
      <c r="R11" s="63">
        <f t="shared" si="6"/>
        <v>27435.739403592248</v>
      </c>
      <c r="S11" s="64">
        <v>0.606656065898319</v>
      </c>
      <c r="T11" s="63"/>
      <c r="U11" s="62"/>
      <c r="V11" s="63">
        <f t="shared" si="1"/>
        <v>909984.09884747851</v>
      </c>
      <c r="W11" s="63">
        <f t="shared" si="1"/>
        <v>42314.260596407752</v>
      </c>
      <c r="X11" s="65">
        <f t="shared" si="7"/>
        <v>909984.09884747851</v>
      </c>
      <c r="Y11" s="65">
        <f t="shared" si="7"/>
        <v>42314.260596407752</v>
      </c>
      <c r="Z11" s="65"/>
      <c r="AA11" s="65"/>
      <c r="AB11" s="65">
        <f t="shared" ref="AB11:AB76" si="14">Y11-Z11-AA11</f>
        <v>42314.260596407752</v>
      </c>
      <c r="AC11" s="66">
        <v>727987.27907798276</v>
      </c>
      <c r="AD11" s="66">
        <f t="shared" si="12"/>
        <v>808874.75453109201</v>
      </c>
      <c r="AE11" s="66"/>
      <c r="AF11" s="67"/>
      <c r="AG11" s="67"/>
      <c r="AH11" s="68"/>
      <c r="AI11" s="68"/>
      <c r="AJ11" s="69"/>
      <c r="AK11" s="67">
        <f t="shared" si="8"/>
        <v>42314.260596407752</v>
      </c>
      <c r="AL11" s="67"/>
      <c r="AM11" s="67"/>
      <c r="AN11" s="67"/>
      <c r="AO11" s="67">
        <f t="shared" si="9"/>
        <v>42314.260596407752</v>
      </c>
      <c r="AP11" s="70">
        <f t="shared" si="2"/>
        <v>909984.09884747851</v>
      </c>
      <c r="AQ11" s="70"/>
      <c r="AR11" s="70"/>
      <c r="AS11" s="71"/>
      <c r="AT11" s="72"/>
      <c r="AU11" s="72"/>
      <c r="AV11" s="73"/>
      <c r="AW11" s="74">
        <f t="shared" si="10"/>
        <v>909984.09884747851</v>
      </c>
      <c r="AX11" s="74">
        <f t="shared" si="11"/>
        <v>1213312.131796638</v>
      </c>
      <c r="AY11" s="75"/>
      <c r="AZ11" s="75"/>
      <c r="BA11" s="75"/>
    </row>
    <row r="12" spans="1:53" s="222" customFormat="1" ht="25.5">
      <c r="A12" s="77">
        <f t="shared" si="13"/>
        <v>5</v>
      </c>
      <c r="B12" s="78" t="s">
        <v>65</v>
      </c>
      <c r="C12" s="79" t="s">
        <v>66</v>
      </c>
      <c r="D12" s="78" t="s">
        <v>57</v>
      </c>
      <c r="E12" s="80" t="s">
        <v>58</v>
      </c>
      <c r="F12" s="220">
        <v>79652</v>
      </c>
      <c r="G12" s="78"/>
      <c r="H12" s="81">
        <v>43525</v>
      </c>
      <c r="I12" s="81">
        <v>43525</v>
      </c>
      <c r="J12" s="82">
        <v>3000000</v>
      </c>
      <c r="K12" s="117">
        <v>7.7499999999999999E-2</v>
      </c>
      <c r="L12" s="85">
        <v>0.9</v>
      </c>
      <c r="M12" s="83">
        <v>9</v>
      </c>
      <c r="N12" s="85">
        <v>12</v>
      </c>
      <c r="O12" s="83">
        <f t="shared" si="3"/>
        <v>156937.5</v>
      </c>
      <c r="P12" s="83">
        <f t="shared" si="4"/>
        <v>1819968.197694957</v>
      </c>
      <c r="Q12" s="83">
        <f t="shared" si="5"/>
        <v>95207.086341917442</v>
      </c>
      <c r="R12" s="83">
        <f t="shared" si="6"/>
        <v>61730.413658082558</v>
      </c>
      <c r="S12" s="84">
        <v>0.606656065898319</v>
      </c>
      <c r="T12" s="83"/>
      <c r="U12" s="85"/>
      <c r="V12" s="83">
        <f t="shared" si="1"/>
        <v>1819968.197694957</v>
      </c>
      <c r="W12" s="83">
        <f t="shared" si="1"/>
        <v>95207.086341917442</v>
      </c>
      <c r="X12" s="86">
        <f t="shared" si="7"/>
        <v>1819968.197694957</v>
      </c>
      <c r="Y12" s="86">
        <f t="shared" si="7"/>
        <v>95207.086341917442</v>
      </c>
      <c r="Z12" s="86">
        <f>174375-31735.7-47432.21</f>
        <v>95207.09</v>
      </c>
      <c r="AA12" s="86"/>
      <c r="AB12" s="86">
        <f t="shared" si="14"/>
        <v>-3.6580825544660911E-3</v>
      </c>
      <c r="AC12" s="87">
        <v>1367923.674467897</v>
      </c>
      <c r="AD12" s="87">
        <f>AB12/K12/L12/9*N12</f>
        <v>-6.9927504028025639E-2</v>
      </c>
      <c r="AE12" s="87"/>
      <c r="AF12" s="88"/>
      <c r="AG12" s="88"/>
      <c r="AH12" s="88"/>
      <c r="AI12" s="88"/>
      <c r="AJ12" s="88"/>
      <c r="AK12" s="130">
        <f t="shared" si="8"/>
        <v>-3.6580825544660911E-3</v>
      </c>
      <c r="AL12" s="130"/>
      <c r="AM12" s="130"/>
      <c r="AN12" s="130"/>
      <c r="AO12" s="130">
        <f t="shared" si="9"/>
        <v>-3.6580825544660911E-3</v>
      </c>
      <c r="AP12" s="89">
        <f t="shared" si="2"/>
        <v>-7.866844203152884E-2</v>
      </c>
      <c r="AQ12" s="182"/>
      <c r="AR12" s="182"/>
      <c r="AS12" s="183"/>
      <c r="AT12" s="183"/>
      <c r="AU12" s="183"/>
      <c r="AV12" s="183"/>
      <c r="AW12" s="186">
        <f t="shared" si="10"/>
        <v>-7.866844203152884E-2</v>
      </c>
      <c r="AX12" s="223">
        <f t="shared" si="11"/>
        <v>-0.10489125604203846</v>
      </c>
      <c r="AY12" s="221"/>
      <c r="AZ12" s="221"/>
      <c r="BA12" s="221"/>
    </row>
    <row r="13" spans="1:53" s="76" customFormat="1" ht="25.5">
      <c r="A13" s="54">
        <f t="shared" si="13"/>
        <v>6</v>
      </c>
      <c r="B13" s="55" t="s">
        <v>65</v>
      </c>
      <c r="C13" s="56" t="s">
        <v>66</v>
      </c>
      <c r="D13" s="54" t="s">
        <v>67</v>
      </c>
      <c r="E13" s="55" t="s">
        <v>58</v>
      </c>
      <c r="F13" s="90"/>
      <c r="G13" s="54"/>
      <c r="H13" s="58">
        <v>43525</v>
      </c>
      <c r="I13" s="59" t="s">
        <v>59</v>
      </c>
      <c r="J13" s="60">
        <v>2000000</v>
      </c>
      <c r="K13" s="61">
        <v>7.7499999999999999E-2</v>
      </c>
      <c r="L13" s="62">
        <v>0.9</v>
      </c>
      <c r="M13" s="63">
        <v>9</v>
      </c>
      <c r="N13" s="62">
        <v>12</v>
      </c>
      <c r="O13" s="63">
        <f t="shared" si="3"/>
        <v>104625</v>
      </c>
      <c r="P13" s="63">
        <f t="shared" si="4"/>
        <v>1213312.131796638</v>
      </c>
      <c r="Q13" s="63">
        <f t="shared" si="5"/>
        <v>63471.390894611628</v>
      </c>
      <c r="R13" s="63">
        <f t="shared" si="6"/>
        <v>41153.609105388372</v>
      </c>
      <c r="S13" s="64">
        <v>0.606656065898319</v>
      </c>
      <c r="T13" s="63"/>
      <c r="U13" s="62"/>
      <c r="V13" s="63">
        <f t="shared" si="1"/>
        <v>1213312.131796638</v>
      </c>
      <c r="W13" s="63">
        <f t="shared" si="1"/>
        <v>63471.390894611628</v>
      </c>
      <c r="X13" s="65">
        <f t="shared" si="7"/>
        <v>1213312.131796638</v>
      </c>
      <c r="Y13" s="65">
        <f t="shared" si="7"/>
        <v>63471.390894611628</v>
      </c>
      <c r="Z13" s="91"/>
      <c r="AA13" s="91"/>
      <c r="AB13" s="65">
        <f t="shared" si="14"/>
        <v>63471.390894611628</v>
      </c>
      <c r="AC13" s="66">
        <v>0</v>
      </c>
      <c r="AD13" s="66">
        <f>AB13/K13/L13/9*N13</f>
        <v>1213312.131796638</v>
      </c>
      <c r="AE13" s="66"/>
      <c r="AF13" s="67"/>
      <c r="AG13" s="67"/>
      <c r="AH13" s="68"/>
      <c r="AI13" s="68"/>
      <c r="AJ13" s="69"/>
      <c r="AK13" s="67">
        <f t="shared" si="8"/>
        <v>63471.390894611628</v>
      </c>
      <c r="AL13" s="67"/>
      <c r="AM13" s="67"/>
      <c r="AN13" s="67">
        <v>52312.5</v>
      </c>
      <c r="AO13" s="67">
        <f t="shared" si="9"/>
        <v>11158.890894611628</v>
      </c>
      <c r="AP13" s="70">
        <f t="shared" si="2"/>
        <v>1364976.1482712177</v>
      </c>
      <c r="AQ13" s="70"/>
      <c r="AR13" s="70"/>
      <c r="AS13" s="71"/>
      <c r="AT13" s="72"/>
      <c r="AU13" s="72"/>
      <c r="AV13" s="73"/>
      <c r="AW13" s="74">
        <f t="shared" si="10"/>
        <v>1364976.1482712177</v>
      </c>
      <c r="AX13" s="74">
        <f t="shared" si="11"/>
        <v>319968.19769495708</v>
      </c>
      <c r="AY13" s="75"/>
      <c r="AZ13" s="75"/>
      <c r="BA13" s="92">
        <v>1500000</v>
      </c>
    </row>
    <row r="14" spans="1:53" s="222" customFormat="1" ht="25.5">
      <c r="A14" s="77">
        <f t="shared" si="13"/>
        <v>7</v>
      </c>
      <c r="B14" s="78" t="s">
        <v>65</v>
      </c>
      <c r="C14" s="79" t="s">
        <v>66</v>
      </c>
      <c r="D14" s="78" t="s">
        <v>57</v>
      </c>
      <c r="E14" s="80" t="s">
        <v>58</v>
      </c>
      <c r="F14" s="220"/>
      <c r="G14" s="78"/>
      <c r="H14" s="81">
        <v>43525</v>
      </c>
      <c r="I14" s="81">
        <v>43525</v>
      </c>
      <c r="J14" s="82">
        <v>1000000</v>
      </c>
      <c r="K14" s="117">
        <v>7.7499999999999999E-2</v>
      </c>
      <c r="L14" s="85">
        <v>0.9</v>
      </c>
      <c r="M14" s="83">
        <v>9</v>
      </c>
      <c r="N14" s="85">
        <v>12</v>
      </c>
      <c r="O14" s="83">
        <f t="shared" si="3"/>
        <v>52312.5</v>
      </c>
      <c r="P14" s="83">
        <f t="shared" si="4"/>
        <v>606656.06589831901</v>
      </c>
      <c r="Q14" s="83">
        <f>P14*K14*L14*M14/N14</f>
        <v>31735.695447305814</v>
      </c>
      <c r="R14" s="83">
        <f t="shared" si="6"/>
        <v>20576.804552694186</v>
      </c>
      <c r="S14" s="84">
        <v>0.606656065898319</v>
      </c>
      <c r="T14" s="83"/>
      <c r="U14" s="85"/>
      <c r="V14" s="83">
        <f t="shared" si="1"/>
        <v>606656.06589831901</v>
      </c>
      <c r="W14" s="83">
        <f>Q14-U14</f>
        <v>31735.695447305814</v>
      </c>
      <c r="X14" s="86">
        <f t="shared" si="7"/>
        <v>606656.06589831901</v>
      </c>
      <c r="Y14" s="86">
        <f>SUM(W14)</f>
        <v>31735.695447305814</v>
      </c>
      <c r="Z14" s="93">
        <v>31735.7</v>
      </c>
      <c r="AA14" s="93"/>
      <c r="AB14" s="86">
        <f>Y14-Z14-AA14</f>
        <v>-4.5526941867137793E-3</v>
      </c>
      <c r="AC14" s="87">
        <v>0</v>
      </c>
      <c r="AD14" s="87">
        <f>AB14/K14/L14/9*N14</f>
        <v>-8.702880165761108E-2</v>
      </c>
      <c r="AE14" s="87"/>
      <c r="AF14" s="88"/>
      <c r="AG14" s="88"/>
      <c r="AH14" s="88"/>
      <c r="AI14" s="88"/>
      <c r="AJ14" s="88"/>
      <c r="AK14" s="130">
        <f t="shared" si="8"/>
        <v>-4.5526941867137793E-3</v>
      </c>
      <c r="AL14" s="130"/>
      <c r="AM14" s="130"/>
      <c r="AN14" s="130"/>
      <c r="AO14" s="130">
        <f t="shared" si="9"/>
        <v>-4.5526941867137793E-3</v>
      </c>
      <c r="AP14" s="89">
        <f t="shared" si="2"/>
        <v>-9.7907401864812477E-2</v>
      </c>
      <c r="AQ14" s="182"/>
      <c r="AR14" s="182"/>
      <c r="AS14" s="183"/>
      <c r="AT14" s="183"/>
      <c r="AU14" s="183"/>
      <c r="AV14" s="183"/>
      <c r="AW14" s="186">
        <f t="shared" si="10"/>
        <v>-9.7907401864812477E-2</v>
      </c>
      <c r="AX14" s="223">
        <f t="shared" si="11"/>
        <v>-0.13054320248641663</v>
      </c>
      <c r="AY14" s="221"/>
      <c r="AZ14" s="221"/>
      <c r="BA14" s="221"/>
    </row>
    <row r="15" spans="1:53" s="76" customFormat="1" ht="25.5">
      <c r="A15" s="54">
        <f t="shared" si="13"/>
        <v>8</v>
      </c>
      <c r="B15" s="55" t="s">
        <v>65</v>
      </c>
      <c r="C15" s="56" t="s">
        <v>66</v>
      </c>
      <c r="D15" s="55" t="s">
        <v>57</v>
      </c>
      <c r="E15" s="55" t="s">
        <v>58</v>
      </c>
      <c r="F15" s="57"/>
      <c r="G15" s="55"/>
      <c r="H15" s="58">
        <v>43617</v>
      </c>
      <c r="I15" s="58">
        <v>43617</v>
      </c>
      <c r="J15" s="60">
        <v>3000000</v>
      </c>
      <c r="K15" s="61">
        <v>7.7499999999999999E-2</v>
      </c>
      <c r="L15" s="62">
        <v>0.9</v>
      </c>
      <c r="M15" s="63">
        <v>6</v>
      </c>
      <c r="N15" s="62">
        <v>12</v>
      </c>
      <c r="O15" s="63">
        <f t="shared" si="3"/>
        <v>104625</v>
      </c>
      <c r="P15" s="63">
        <f t="shared" si="4"/>
        <v>1819968.197694957</v>
      </c>
      <c r="Q15" s="63">
        <f t="shared" si="5"/>
        <v>63471.390894611628</v>
      </c>
      <c r="R15" s="63">
        <f t="shared" si="6"/>
        <v>41153.609105388372</v>
      </c>
      <c r="S15" s="64">
        <v>0.606656065898319</v>
      </c>
      <c r="T15" s="63"/>
      <c r="U15" s="62"/>
      <c r="V15" s="63">
        <f t="shared" si="1"/>
        <v>1819968.197694957</v>
      </c>
      <c r="W15" s="63">
        <f t="shared" si="1"/>
        <v>63471.390894611628</v>
      </c>
      <c r="X15" s="65">
        <f t="shared" si="7"/>
        <v>1819968.197694957</v>
      </c>
      <c r="Y15" s="65">
        <f t="shared" si="7"/>
        <v>63471.390894611628</v>
      </c>
      <c r="Z15" s="91">
        <v>47432.21</v>
      </c>
      <c r="AA15" s="91"/>
      <c r="AB15" s="65">
        <f t="shared" si="14"/>
        <v>16039.180894611629</v>
      </c>
      <c r="AC15" s="66">
        <v>0</v>
      </c>
      <c r="AD15" s="66">
        <f t="shared" si="12"/>
        <v>306603.21901288658</v>
      </c>
      <c r="AE15" s="66"/>
      <c r="AF15" s="67"/>
      <c r="AG15" s="67"/>
      <c r="AH15" s="68"/>
      <c r="AI15" s="68"/>
      <c r="AJ15" s="69"/>
      <c r="AK15" s="67">
        <f t="shared" si="8"/>
        <v>16039.180894611629</v>
      </c>
      <c r="AL15" s="67"/>
      <c r="AM15" s="67"/>
      <c r="AN15" s="67"/>
      <c r="AO15" s="67">
        <f t="shared" si="9"/>
        <v>16039.180894611629</v>
      </c>
      <c r="AP15" s="70">
        <f t="shared" si="2"/>
        <v>344928.62138949742</v>
      </c>
      <c r="AQ15" s="70"/>
      <c r="AR15" s="70"/>
      <c r="AS15" s="71"/>
      <c r="AT15" s="72"/>
      <c r="AU15" s="72"/>
      <c r="AV15" s="73"/>
      <c r="AW15" s="74">
        <f t="shared" si="10"/>
        <v>344928.62138949742</v>
      </c>
      <c r="AX15" s="74">
        <f t="shared" si="11"/>
        <v>459904.82851932989</v>
      </c>
      <c r="AY15" s="75"/>
      <c r="AZ15" s="75"/>
      <c r="BA15" s="75"/>
    </row>
    <row r="16" spans="1:53" s="222" customFormat="1" ht="25.5">
      <c r="A16" s="77">
        <f t="shared" si="13"/>
        <v>9</v>
      </c>
      <c r="B16" s="78" t="s">
        <v>68</v>
      </c>
      <c r="C16" s="79" t="s">
        <v>69</v>
      </c>
      <c r="D16" s="78" t="s">
        <v>57</v>
      </c>
      <c r="E16" s="80" t="s">
        <v>58</v>
      </c>
      <c r="F16" s="220">
        <v>104363</v>
      </c>
      <c r="G16" s="78"/>
      <c r="H16" s="81">
        <v>43497</v>
      </c>
      <c r="I16" s="81">
        <v>43497</v>
      </c>
      <c r="J16" s="82">
        <v>5000000</v>
      </c>
      <c r="K16" s="117">
        <v>7.7499999999999999E-2</v>
      </c>
      <c r="L16" s="85">
        <v>0.9</v>
      </c>
      <c r="M16" s="83">
        <v>10</v>
      </c>
      <c r="N16" s="85">
        <v>12</v>
      </c>
      <c r="O16" s="83">
        <f t="shared" si="3"/>
        <v>290625</v>
      </c>
      <c r="P16" s="83">
        <f t="shared" si="4"/>
        <v>3033280.3294915948</v>
      </c>
      <c r="Q16" s="83">
        <f t="shared" si="5"/>
        <v>176309.41915169894</v>
      </c>
      <c r="R16" s="83">
        <f t="shared" si="6"/>
        <v>114315.58084830106</v>
      </c>
      <c r="S16" s="84">
        <v>0.606656065898319</v>
      </c>
      <c r="T16" s="83">
        <v>6000000</v>
      </c>
      <c r="U16" s="94">
        <v>348750</v>
      </c>
      <c r="V16" s="83">
        <f t="shared" si="1"/>
        <v>-2966719.6705084052</v>
      </c>
      <c r="W16" s="83">
        <f t="shared" si="1"/>
        <v>-172440.58084830106</v>
      </c>
      <c r="X16" s="86">
        <f t="shared" si="7"/>
        <v>-2966719.6705084052</v>
      </c>
      <c r="Y16" s="86">
        <f t="shared" si="7"/>
        <v>-172440.58084830106</v>
      </c>
      <c r="Z16" s="86"/>
      <c r="AA16" s="86"/>
      <c r="AB16" s="86">
        <f t="shared" si="14"/>
        <v>-172440.58084830106</v>
      </c>
      <c r="AC16" s="87">
        <v>-2966719.6705084052</v>
      </c>
      <c r="AD16" s="87">
        <f t="shared" si="12"/>
        <v>-3296355.1894537839</v>
      </c>
      <c r="AE16" s="87"/>
      <c r="AF16" s="88"/>
      <c r="AG16" s="88"/>
      <c r="AH16" s="88"/>
      <c r="AI16" s="88"/>
      <c r="AJ16" s="88"/>
      <c r="AK16" s="130">
        <f t="shared" si="8"/>
        <v>-172440.58084830106</v>
      </c>
      <c r="AL16" s="130"/>
      <c r="AM16" s="130"/>
      <c r="AN16" s="130"/>
      <c r="AO16" s="130">
        <f t="shared" si="9"/>
        <v>-172440.58084830106</v>
      </c>
      <c r="AP16" s="89">
        <f t="shared" si="2"/>
        <v>-3708399.588135507</v>
      </c>
      <c r="AQ16" s="182"/>
      <c r="AR16" s="182"/>
      <c r="AS16" s="183"/>
      <c r="AT16" s="183"/>
      <c r="AU16" s="183"/>
      <c r="AV16" s="183"/>
      <c r="AW16" s="186">
        <f t="shared" si="10"/>
        <v>-3708399.588135507</v>
      </c>
      <c r="AX16" s="223">
        <f t="shared" si="11"/>
        <v>-4944532.7841806756</v>
      </c>
      <c r="AY16" s="221"/>
      <c r="AZ16" s="221"/>
      <c r="BA16" s="221"/>
    </row>
    <row r="17" spans="1:53" s="76" customFormat="1" ht="25.5">
      <c r="A17" s="54">
        <f t="shared" si="13"/>
        <v>10</v>
      </c>
      <c r="B17" s="55" t="s">
        <v>70</v>
      </c>
      <c r="C17" s="56" t="s">
        <v>71</v>
      </c>
      <c r="D17" s="55" t="s">
        <v>57</v>
      </c>
      <c r="E17" s="55" t="s">
        <v>58</v>
      </c>
      <c r="F17" s="57">
        <v>117295</v>
      </c>
      <c r="G17" s="55"/>
      <c r="H17" s="58">
        <v>43497</v>
      </c>
      <c r="I17" s="59" t="s">
        <v>72</v>
      </c>
      <c r="J17" s="60">
        <v>5000000</v>
      </c>
      <c r="K17" s="61">
        <v>7.7499999999999999E-2</v>
      </c>
      <c r="L17" s="62">
        <v>0.9</v>
      </c>
      <c r="M17" s="63">
        <v>10</v>
      </c>
      <c r="N17" s="62">
        <v>12</v>
      </c>
      <c r="O17" s="63">
        <f t="shared" si="3"/>
        <v>290625</v>
      </c>
      <c r="P17" s="63">
        <f t="shared" si="4"/>
        <v>3033280.3294915948</v>
      </c>
      <c r="Q17" s="63">
        <f t="shared" si="5"/>
        <v>176309.41915169894</v>
      </c>
      <c r="R17" s="63">
        <f t="shared" si="6"/>
        <v>114315.58084830106</v>
      </c>
      <c r="S17" s="64">
        <v>0.606656065898319</v>
      </c>
      <c r="T17" s="95">
        <v>3000000</v>
      </c>
      <c r="U17" s="96">
        <v>137590</v>
      </c>
      <c r="V17" s="63">
        <f t="shared" si="1"/>
        <v>33280.329491594806</v>
      </c>
      <c r="W17" s="63">
        <f t="shared" si="1"/>
        <v>38719.419151698938</v>
      </c>
      <c r="X17" s="65">
        <f t="shared" si="7"/>
        <v>33280.329491594806</v>
      </c>
      <c r="Y17" s="65">
        <f t="shared" si="7"/>
        <v>38719.419151698938</v>
      </c>
      <c r="Z17" s="65"/>
      <c r="AA17" s="65"/>
      <c r="AB17" s="65">
        <f t="shared" si="14"/>
        <v>38719.419151698938</v>
      </c>
      <c r="AC17" s="66">
        <v>666140.54454535805</v>
      </c>
      <c r="AD17" s="66">
        <f t="shared" si="12"/>
        <v>740156.16060595331</v>
      </c>
      <c r="AE17" s="66"/>
      <c r="AF17" s="67"/>
      <c r="AG17" s="67"/>
      <c r="AH17" s="68"/>
      <c r="AI17" s="68"/>
      <c r="AJ17" s="69"/>
      <c r="AK17" s="67">
        <f t="shared" si="8"/>
        <v>38719.419151698938</v>
      </c>
      <c r="AL17" s="67"/>
      <c r="AM17" s="67"/>
      <c r="AN17" s="67"/>
      <c r="AO17" s="67">
        <f t="shared" si="9"/>
        <v>38719.419151698938</v>
      </c>
      <c r="AP17" s="70">
        <f t="shared" si="2"/>
        <v>832675.68068169756</v>
      </c>
      <c r="AQ17" s="70"/>
      <c r="AR17" s="70"/>
      <c r="AS17" s="71"/>
      <c r="AT17" s="72"/>
      <c r="AU17" s="72"/>
      <c r="AV17" s="73"/>
      <c r="AW17" s="74">
        <f t="shared" si="10"/>
        <v>832675.68068169756</v>
      </c>
      <c r="AX17" s="74">
        <f t="shared" si="11"/>
        <v>1110234.2409089301</v>
      </c>
      <c r="AY17" s="75"/>
      <c r="AZ17" s="75"/>
      <c r="BA17" s="75"/>
    </row>
    <row r="18" spans="1:53" s="76" customFormat="1" ht="25.5">
      <c r="A18" s="54">
        <f t="shared" si="13"/>
        <v>11</v>
      </c>
      <c r="B18" s="55" t="s">
        <v>73</v>
      </c>
      <c r="C18" s="56" t="s">
        <v>74</v>
      </c>
      <c r="D18" s="55" t="s">
        <v>57</v>
      </c>
      <c r="E18" s="55" t="s">
        <v>58</v>
      </c>
      <c r="F18" s="57">
        <v>30596</v>
      </c>
      <c r="G18" s="55"/>
      <c r="H18" s="58">
        <v>43586</v>
      </c>
      <c r="I18" s="58">
        <v>43586</v>
      </c>
      <c r="J18" s="60">
        <v>1500000</v>
      </c>
      <c r="K18" s="61">
        <v>7.7499999999999999E-2</v>
      </c>
      <c r="L18" s="62">
        <v>0.9</v>
      </c>
      <c r="M18" s="63">
        <v>7</v>
      </c>
      <c r="N18" s="62">
        <v>12</v>
      </c>
      <c r="O18" s="63">
        <f t="shared" si="3"/>
        <v>61031.25</v>
      </c>
      <c r="P18" s="63">
        <f t="shared" si="4"/>
        <v>909984.09884747851</v>
      </c>
      <c r="Q18" s="63">
        <f t="shared" si="5"/>
        <v>37024.978021856783</v>
      </c>
      <c r="R18" s="63">
        <f t="shared" si="6"/>
        <v>24006.271978143217</v>
      </c>
      <c r="S18" s="64">
        <v>0.606656065898319</v>
      </c>
      <c r="T18" s="63"/>
      <c r="U18" s="62"/>
      <c r="V18" s="63">
        <f t="shared" si="1"/>
        <v>909984.09884747851</v>
      </c>
      <c r="W18" s="63">
        <f t="shared" si="1"/>
        <v>37024.978021856783</v>
      </c>
      <c r="X18" s="65">
        <f t="shared" si="7"/>
        <v>909984.09884747851</v>
      </c>
      <c r="Y18" s="65">
        <f t="shared" si="7"/>
        <v>37024.978021856783</v>
      </c>
      <c r="Z18" s="65"/>
      <c r="AA18" s="65"/>
      <c r="AB18" s="65">
        <f t="shared" si="14"/>
        <v>37024.978021856783</v>
      </c>
      <c r="AC18" s="66">
        <v>636988.86919323495</v>
      </c>
      <c r="AD18" s="66">
        <f t="shared" si="12"/>
        <v>707765.41021470551</v>
      </c>
      <c r="AE18" s="66"/>
      <c r="AF18" s="67"/>
      <c r="AG18" s="67"/>
      <c r="AH18" s="68"/>
      <c r="AI18" s="68"/>
      <c r="AJ18" s="69"/>
      <c r="AK18" s="67">
        <f t="shared" si="8"/>
        <v>37024.978021856783</v>
      </c>
      <c r="AL18" s="67"/>
      <c r="AM18" s="67"/>
      <c r="AN18" s="67"/>
      <c r="AO18" s="67">
        <f t="shared" si="9"/>
        <v>37024.978021856783</v>
      </c>
      <c r="AP18" s="70">
        <f t="shared" si="2"/>
        <v>796236.0864915438</v>
      </c>
      <c r="AQ18" s="70"/>
      <c r="AR18" s="70"/>
      <c r="AS18" s="71"/>
      <c r="AT18" s="72"/>
      <c r="AU18" s="72"/>
      <c r="AV18" s="73"/>
      <c r="AW18" s="74">
        <f t="shared" si="10"/>
        <v>796236.0864915438</v>
      </c>
      <c r="AX18" s="74">
        <f t="shared" si="11"/>
        <v>1061648.1153220583</v>
      </c>
      <c r="AY18" s="75"/>
      <c r="AZ18" s="75"/>
      <c r="BA18" s="75"/>
    </row>
    <row r="19" spans="1:53" s="76" customFormat="1" ht="25.5">
      <c r="A19" s="54">
        <f t="shared" si="13"/>
        <v>12</v>
      </c>
      <c r="B19" s="55" t="s">
        <v>75</v>
      </c>
      <c r="C19" s="56" t="s">
        <v>76</v>
      </c>
      <c r="D19" s="55" t="s">
        <v>57</v>
      </c>
      <c r="E19" s="55" t="s">
        <v>58</v>
      </c>
      <c r="F19" s="57">
        <v>82593</v>
      </c>
      <c r="G19" s="55"/>
      <c r="H19" s="58">
        <v>43556</v>
      </c>
      <c r="I19" s="58">
        <v>43556</v>
      </c>
      <c r="J19" s="60">
        <v>10000000</v>
      </c>
      <c r="K19" s="61">
        <v>7.7499999999999999E-2</v>
      </c>
      <c r="L19" s="62">
        <v>0.9</v>
      </c>
      <c r="M19" s="63">
        <v>8</v>
      </c>
      <c r="N19" s="62">
        <v>12</v>
      </c>
      <c r="O19" s="63">
        <f t="shared" si="3"/>
        <v>465000</v>
      </c>
      <c r="P19" s="63">
        <f t="shared" si="4"/>
        <v>6066560.6589831896</v>
      </c>
      <c r="Q19" s="63">
        <f t="shared" si="5"/>
        <v>282095.07064271829</v>
      </c>
      <c r="R19" s="63">
        <f t="shared" si="6"/>
        <v>182904.92935728171</v>
      </c>
      <c r="S19" s="64">
        <v>0.606656065898319</v>
      </c>
      <c r="T19" s="63"/>
      <c r="U19" s="62"/>
      <c r="V19" s="63">
        <f t="shared" si="1"/>
        <v>6066560.6589831896</v>
      </c>
      <c r="W19" s="63">
        <f t="shared" si="1"/>
        <v>282095.07064271829</v>
      </c>
      <c r="X19" s="65">
        <f t="shared" si="7"/>
        <v>6066560.6589831896</v>
      </c>
      <c r="Y19" s="65">
        <f t="shared" si="7"/>
        <v>282095.07064271829</v>
      </c>
      <c r="Z19" s="65"/>
      <c r="AA19" s="65"/>
      <c r="AB19" s="65">
        <f t="shared" si="14"/>
        <v>282095.07064271829</v>
      </c>
      <c r="AC19" s="66">
        <v>4853248.5271865511</v>
      </c>
      <c r="AD19" s="66">
        <f t="shared" si="12"/>
        <v>5392498.3635406131</v>
      </c>
      <c r="AE19" s="66"/>
      <c r="AF19" s="67"/>
      <c r="AG19" s="67"/>
      <c r="AH19" s="68"/>
      <c r="AI19" s="68"/>
      <c r="AJ19" s="69"/>
      <c r="AK19" s="67">
        <f t="shared" si="8"/>
        <v>282095.07064271829</v>
      </c>
      <c r="AL19" s="67"/>
      <c r="AM19" s="67"/>
      <c r="AN19" s="67"/>
      <c r="AO19" s="67">
        <f t="shared" si="9"/>
        <v>282095.07064271829</v>
      </c>
      <c r="AP19" s="70">
        <f t="shared" si="2"/>
        <v>6066560.6589831896</v>
      </c>
      <c r="AQ19" s="70"/>
      <c r="AR19" s="70"/>
      <c r="AS19" s="71"/>
      <c r="AT19" s="72"/>
      <c r="AU19" s="72"/>
      <c r="AV19" s="73"/>
      <c r="AW19" s="74">
        <f t="shared" si="10"/>
        <v>6066560.6589831896</v>
      </c>
      <c r="AX19" s="74">
        <f t="shared" si="11"/>
        <v>8088747.5453109201</v>
      </c>
      <c r="AY19" s="75"/>
      <c r="AZ19" s="75"/>
      <c r="BA19" s="75"/>
    </row>
    <row r="20" spans="1:53" s="76" customFormat="1" ht="25.5">
      <c r="A20" s="54">
        <f t="shared" si="13"/>
        <v>13</v>
      </c>
      <c r="B20" s="55" t="s">
        <v>77</v>
      </c>
      <c r="C20" s="56" t="s">
        <v>78</v>
      </c>
      <c r="D20" s="55" t="s">
        <v>57</v>
      </c>
      <c r="E20" s="55" t="s">
        <v>58</v>
      </c>
      <c r="F20" s="57">
        <v>43282</v>
      </c>
      <c r="G20" s="55"/>
      <c r="H20" s="58">
        <v>43678</v>
      </c>
      <c r="I20" s="58">
        <v>43678</v>
      </c>
      <c r="J20" s="60">
        <v>2000000</v>
      </c>
      <c r="K20" s="61">
        <v>7.7499999999999999E-2</v>
      </c>
      <c r="L20" s="62">
        <v>0.9</v>
      </c>
      <c r="M20" s="63">
        <v>4</v>
      </c>
      <c r="N20" s="62">
        <v>12</v>
      </c>
      <c r="O20" s="63">
        <f t="shared" si="3"/>
        <v>46500</v>
      </c>
      <c r="P20" s="63">
        <f t="shared" si="4"/>
        <v>1213312.131796638</v>
      </c>
      <c r="Q20" s="63">
        <f t="shared" si="5"/>
        <v>28209.507064271835</v>
      </c>
      <c r="R20" s="63">
        <f t="shared" si="6"/>
        <v>18290.492935728165</v>
      </c>
      <c r="S20" s="64">
        <v>0.606656065898319</v>
      </c>
      <c r="T20" s="63"/>
      <c r="U20" s="62"/>
      <c r="V20" s="63">
        <f t="shared" si="1"/>
        <v>1213312.131796638</v>
      </c>
      <c r="W20" s="63">
        <f t="shared" si="1"/>
        <v>28209.507064271835</v>
      </c>
      <c r="X20" s="65">
        <f t="shared" si="7"/>
        <v>1213312.131796638</v>
      </c>
      <c r="Y20" s="65">
        <f t="shared" si="7"/>
        <v>28209.507064271835</v>
      </c>
      <c r="Z20" s="65"/>
      <c r="AA20" s="65"/>
      <c r="AB20" s="65">
        <f t="shared" si="14"/>
        <v>28209.507064271835</v>
      </c>
      <c r="AC20" s="66">
        <v>485324.85271865525</v>
      </c>
      <c r="AD20" s="66">
        <f t="shared" si="12"/>
        <v>539249.83635406138</v>
      </c>
      <c r="AE20" s="66"/>
      <c r="AF20" s="67"/>
      <c r="AG20" s="67"/>
      <c r="AH20" s="68"/>
      <c r="AI20" s="68"/>
      <c r="AJ20" s="69"/>
      <c r="AK20" s="67">
        <f t="shared" si="8"/>
        <v>28209.507064271835</v>
      </c>
      <c r="AL20" s="67"/>
      <c r="AM20" s="67"/>
      <c r="AN20" s="67"/>
      <c r="AO20" s="67">
        <f t="shared" si="9"/>
        <v>28209.507064271835</v>
      </c>
      <c r="AP20" s="70">
        <f t="shared" si="2"/>
        <v>606656.06589831901</v>
      </c>
      <c r="AQ20" s="70"/>
      <c r="AR20" s="70"/>
      <c r="AS20" s="71"/>
      <c r="AT20" s="72"/>
      <c r="AU20" s="72"/>
      <c r="AV20" s="73"/>
      <c r="AW20" s="74">
        <f t="shared" si="10"/>
        <v>606656.06589831901</v>
      </c>
      <c r="AX20" s="74">
        <f t="shared" si="11"/>
        <v>808874.75453109201</v>
      </c>
      <c r="AY20" s="75"/>
      <c r="AZ20" s="75"/>
      <c r="BA20" s="75"/>
    </row>
    <row r="21" spans="1:53" s="230" customFormat="1" ht="76.5">
      <c r="A21" s="120"/>
      <c r="B21" s="224" t="s">
        <v>79</v>
      </c>
      <c r="C21" s="225" t="s">
        <v>80</v>
      </c>
      <c r="D21" s="80" t="s">
        <v>57</v>
      </c>
      <c r="E21" s="80" t="s">
        <v>58</v>
      </c>
      <c r="F21" s="226"/>
      <c r="G21" s="80"/>
      <c r="H21" s="122"/>
      <c r="I21" s="122" t="s">
        <v>81</v>
      </c>
      <c r="J21" s="123"/>
      <c r="K21" s="124">
        <v>7.7499999999999999E-2</v>
      </c>
      <c r="L21" s="125">
        <v>0.9</v>
      </c>
      <c r="M21" s="126">
        <v>7</v>
      </c>
      <c r="N21" s="125">
        <v>12</v>
      </c>
      <c r="O21" s="126"/>
      <c r="P21" s="126"/>
      <c r="Q21" s="126"/>
      <c r="R21" s="126"/>
      <c r="S21" s="127"/>
      <c r="T21" s="126"/>
      <c r="U21" s="125"/>
      <c r="V21" s="126"/>
      <c r="W21" s="126"/>
      <c r="X21" s="128"/>
      <c r="Y21" s="128"/>
      <c r="Z21" s="128"/>
      <c r="AA21" s="128"/>
      <c r="AB21" s="128"/>
      <c r="AC21" s="129"/>
      <c r="AD21" s="129"/>
      <c r="AE21" s="129"/>
      <c r="AF21" s="130"/>
      <c r="AG21" s="130"/>
      <c r="AH21" s="130"/>
      <c r="AI21" s="130"/>
      <c r="AJ21" s="130"/>
      <c r="AK21" s="130"/>
      <c r="AL21" s="227">
        <v>10533.76</v>
      </c>
      <c r="AM21" s="228"/>
      <c r="AN21" s="228"/>
      <c r="AO21" s="130">
        <f t="shared" si="9"/>
        <v>-10533.76</v>
      </c>
      <c r="AP21" s="119"/>
      <c r="AQ21" s="119"/>
      <c r="AR21" s="119"/>
      <c r="AS21" s="185"/>
      <c r="AT21" s="185"/>
      <c r="AU21" s="185"/>
      <c r="AV21" s="185"/>
      <c r="AW21" s="186"/>
      <c r="AX21" s="223">
        <f t="shared" si="11"/>
        <v>-302043.29749103944</v>
      </c>
      <c r="AY21" s="186">
        <v>350000</v>
      </c>
      <c r="AZ21" s="229"/>
      <c r="BA21" s="229"/>
    </row>
    <row r="22" spans="1:53" s="2" customFormat="1" ht="25.5">
      <c r="A22" s="97">
        <f>A20+1</f>
        <v>14</v>
      </c>
      <c r="B22" s="98" t="s">
        <v>82</v>
      </c>
      <c r="C22" s="109" t="s">
        <v>83</v>
      </c>
      <c r="D22" s="98" t="s">
        <v>84</v>
      </c>
      <c r="E22" s="110" t="s">
        <v>85</v>
      </c>
      <c r="F22" s="99">
        <v>497679</v>
      </c>
      <c r="G22" s="98"/>
      <c r="H22" s="100">
        <v>43647</v>
      </c>
      <c r="I22" s="100">
        <v>43647</v>
      </c>
      <c r="J22" s="101">
        <v>20000000</v>
      </c>
      <c r="K22" s="111">
        <v>7.7499999999999999E-2</v>
      </c>
      <c r="L22" s="104">
        <v>0.9</v>
      </c>
      <c r="M22" s="102">
        <v>5</v>
      </c>
      <c r="N22" s="104">
        <v>12</v>
      </c>
      <c r="O22" s="102">
        <f t="shared" si="3"/>
        <v>581250</v>
      </c>
      <c r="P22" s="102">
        <f t="shared" si="4"/>
        <v>12133121.317966379</v>
      </c>
      <c r="Q22" s="102">
        <f t="shared" si="5"/>
        <v>352618.83830339788</v>
      </c>
      <c r="R22" s="102">
        <f t="shared" si="6"/>
        <v>228631.16169660212</v>
      </c>
      <c r="S22" s="103">
        <v>0.606656065898319</v>
      </c>
      <c r="T22" s="102"/>
      <c r="U22" s="104"/>
      <c r="V22" s="102">
        <f t="shared" si="1"/>
        <v>12133121.317966379</v>
      </c>
      <c r="W22" s="102">
        <f t="shared" si="1"/>
        <v>352618.83830339788</v>
      </c>
      <c r="X22" s="105">
        <f t="shared" si="7"/>
        <v>12133121.317966379</v>
      </c>
      <c r="Y22" s="105">
        <f t="shared" si="7"/>
        <v>352618.83830339788</v>
      </c>
      <c r="Z22" s="105"/>
      <c r="AA22" s="105"/>
      <c r="AB22" s="105">
        <f t="shared" si="14"/>
        <v>352618.83830339788</v>
      </c>
      <c r="AC22" s="106">
        <v>7886528.856678145</v>
      </c>
      <c r="AD22" s="106">
        <f t="shared" si="12"/>
        <v>6740622.9544257652</v>
      </c>
      <c r="AE22" s="106"/>
      <c r="AF22" s="68"/>
      <c r="AG22" s="68"/>
      <c r="AH22" s="68"/>
      <c r="AI22" s="68"/>
      <c r="AJ22" s="69"/>
      <c r="AK22" s="67">
        <f t="shared" si="8"/>
        <v>352618.83830339788</v>
      </c>
      <c r="AL22" s="67"/>
      <c r="AM22" s="67"/>
      <c r="AN22" s="67"/>
      <c r="AO22" s="67">
        <f t="shared" si="9"/>
        <v>352618.83830339788</v>
      </c>
      <c r="AP22" s="107">
        <f t="shared" si="2"/>
        <v>7583200.8237289861</v>
      </c>
      <c r="AQ22" s="107"/>
      <c r="AR22" s="107"/>
      <c r="AS22" s="72"/>
      <c r="AT22" s="72"/>
      <c r="AU22" s="72"/>
      <c r="AV22" s="73"/>
      <c r="AW22" s="74">
        <f t="shared" si="10"/>
        <v>7583200.8237289861</v>
      </c>
      <c r="AX22" s="74">
        <f t="shared" si="11"/>
        <v>10110934.431638649</v>
      </c>
      <c r="AY22" s="108"/>
      <c r="AZ22" s="108"/>
      <c r="BA22" s="108"/>
    </row>
    <row r="23" spans="1:53" s="2" customFormat="1" ht="25.5">
      <c r="A23" s="97">
        <f t="shared" si="13"/>
        <v>15</v>
      </c>
      <c r="B23" s="98" t="s">
        <v>82</v>
      </c>
      <c r="C23" s="109" t="s">
        <v>83</v>
      </c>
      <c r="D23" s="98" t="s">
        <v>84</v>
      </c>
      <c r="E23" s="110" t="s">
        <v>85</v>
      </c>
      <c r="F23" s="99"/>
      <c r="G23" s="98"/>
      <c r="H23" s="100">
        <v>43770</v>
      </c>
      <c r="I23" s="100">
        <v>43770</v>
      </c>
      <c r="J23" s="101">
        <v>30000000</v>
      </c>
      <c r="K23" s="111">
        <v>7.7499999999999999E-2</v>
      </c>
      <c r="L23" s="104">
        <v>0.9</v>
      </c>
      <c r="M23" s="102">
        <v>1</v>
      </c>
      <c r="N23" s="104">
        <v>12</v>
      </c>
      <c r="O23" s="102">
        <f t="shared" si="3"/>
        <v>174375</v>
      </c>
      <c r="P23" s="102">
        <f t="shared" si="4"/>
        <v>18199681.976949569</v>
      </c>
      <c r="Q23" s="102">
        <f t="shared" si="5"/>
        <v>105785.65149101937</v>
      </c>
      <c r="R23" s="102">
        <f t="shared" si="6"/>
        <v>68589.348508980635</v>
      </c>
      <c r="S23" s="103">
        <v>0.606656065898319</v>
      </c>
      <c r="T23" s="102"/>
      <c r="U23" s="104"/>
      <c r="V23" s="102">
        <f t="shared" si="1"/>
        <v>18199681.976949569</v>
      </c>
      <c r="W23" s="102">
        <f t="shared" si="1"/>
        <v>105785.65149101937</v>
      </c>
      <c r="X23" s="105">
        <f t="shared" si="7"/>
        <v>18199681.976949569</v>
      </c>
      <c r="Y23" s="105">
        <f t="shared" si="7"/>
        <v>105785.65149101937</v>
      </c>
      <c r="Z23" s="112"/>
      <c r="AA23" s="112"/>
      <c r="AB23" s="105">
        <f t="shared" si="14"/>
        <v>105785.65149101937</v>
      </c>
      <c r="AC23" s="106">
        <v>0</v>
      </c>
      <c r="AD23" s="106">
        <f t="shared" si="12"/>
        <v>2022186.88632773</v>
      </c>
      <c r="AE23" s="106"/>
      <c r="AF23" s="68"/>
      <c r="AG23" s="68"/>
      <c r="AH23" s="68"/>
      <c r="AI23" s="68"/>
      <c r="AJ23" s="69"/>
      <c r="AK23" s="67">
        <f t="shared" si="8"/>
        <v>105785.65149101937</v>
      </c>
      <c r="AL23" s="67"/>
      <c r="AM23" s="67"/>
      <c r="AN23" s="67"/>
      <c r="AO23" s="67">
        <f t="shared" si="9"/>
        <v>105785.65149101937</v>
      </c>
      <c r="AP23" s="107">
        <f t="shared" si="2"/>
        <v>2274960.2471186961</v>
      </c>
      <c r="AQ23" s="107"/>
      <c r="AR23" s="107"/>
      <c r="AS23" s="72"/>
      <c r="AT23" s="72"/>
      <c r="AU23" s="72"/>
      <c r="AV23" s="73"/>
      <c r="AW23" s="74">
        <f t="shared" si="10"/>
        <v>2274960.2471186961</v>
      </c>
      <c r="AX23" s="74">
        <f t="shared" si="11"/>
        <v>3033280.3294915948</v>
      </c>
      <c r="AY23" s="108"/>
      <c r="AZ23" s="108"/>
      <c r="BA23" s="108"/>
    </row>
    <row r="24" spans="1:53" s="76" customFormat="1" ht="25.5">
      <c r="A24" s="54">
        <f t="shared" si="13"/>
        <v>16</v>
      </c>
      <c r="B24" s="55" t="s">
        <v>86</v>
      </c>
      <c r="C24" s="56" t="s">
        <v>87</v>
      </c>
      <c r="D24" s="55" t="s">
        <v>84</v>
      </c>
      <c r="E24" s="55" t="s">
        <v>58</v>
      </c>
      <c r="F24" s="57">
        <v>27537</v>
      </c>
      <c r="G24" s="55"/>
      <c r="H24" s="58">
        <v>43497</v>
      </c>
      <c r="I24" s="59" t="s">
        <v>88</v>
      </c>
      <c r="J24" s="60">
        <v>3000000</v>
      </c>
      <c r="K24" s="61">
        <v>7.7499999999999999E-2</v>
      </c>
      <c r="L24" s="62">
        <v>0.9</v>
      </c>
      <c r="M24" s="63">
        <v>10</v>
      </c>
      <c r="N24" s="62">
        <v>12</v>
      </c>
      <c r="O24" s="63">
        <f t="shared" si="3"/>
        <v>174375</v>
      </c>
      <c r="P24" s="63">
        <f t="shared" si="4"/>
        <v>1819968.197694957</v>
      </c>
      <c r="Q24" s="63">
        <f t="shared" si="5"/>
        <v>105785.65149101937</v>
      </c>
      <c r="R24" s="63">
        <f t="shared" si="6"/>
        <v>68589.348508980635</v>
      </c>
      <c r="S24" s="64">
        <v>0.606656065898319</v>
      </c>
      <c r="T24" s="63"/>
      <c r="U24" s="62"/>
      <c r="V24" s="63">
        <f t="shared" si="1"/>
        <v>1819968.197694957</v>
      </c>
      <c r="W24" s="63">
        <f t="shared" si="1"/>
        <v>105785.65149101937</v>
      </c>
      <c r="X24" s="65">
        <f t="shared" si="7"/>
        <v>1819968.197694957</v>
      </c>
      <c r="Y24" s="65">
        <f t="shared" si="7"/>
        <v>105785.65149101937</v>
      </c>
      <c r="Z24" s="65"/>
      <c r="AA24" s="65"/>
      <c r="AB24" s="65">
        <f t="shared" si="14"/>
        <v>105785.65149101937</v>
      </c>
      <c r="AC24" s="66">
        <v>2365958.6570034437</v>
      </c>
      <c r="AD24" s="66">
        <f t="shared" si="12"/>
        <v>2022186.88632773</v>
      </c>
      <c r="AE24" s="66"/>
      <c r="AF24" s="67"/>
      <c r="AG24" s="67"/>
      <c r="AH24" s="68"/>
      <c r="AI24" s="68"/>
      <c r="AJ24" s="69"/>
      <c r="AK24" s="67">
        <f t="shared" si="8"/>
        <v>105785.65149101937</v>
      </c>
      <c r="AL24" s="67"/>
      <c r="AM24" s="67"/>
      <c r="AN24" s="67"/>
      <c r="AO24" s="67">
        <f t="shared" si="9"/>
        <v>105785.65149101937</v>
      </c>
      <c r="AP24" s="70">
        <f t="shared" si="2"/>
        <v>2274960.2471186961</v>
      </c>
      <c r="AQ24" s="70"/>
      <c r="AR24" s="70"/>
      <c r="AS24" s="71"/>
      <c r="AT24" s="72"/>
      <c r="AU24" s="72"/>
      <c r="AV24" s="73"/>
      <c r="AW24" s="74">
        <f t="shared" si="10"/>
        <v>2274960.2471186961</v>
      </c>
      <c r="AX24" s="74">
        <f t="shared" si="11"/>
        <v>3033280.3294915948</v>
      </c>
      <c r="AY24" s="75"/>
      <c r="AZ24" s="75"/>
      <c r="BA24" s="75"/>
    </row>
    <row r="25" spans="1:53" s="76" customFormat="1" ht="25.5">
      <c r="A25" s="54">
        <f t="shared" si="13"/>
        <v>17</v>
      </c>
      <c r="B25" s="55" t="s">
        <v>86</v>
      </c>
      <c r="C25" s="56" t="s">
        <v>87</v>
      </c>
      <c r="D25" s="55" t="s">
        <v>84</v>
      </c>
      <c r="E25" s="55" t="s">
        <v>58</v>
      </c>
      <c r="F25" s="57"/>
      <c r="G25" s="55"/>
      <c r="H25" s="58">
        <v>43709</v>
      </c>
      <c r="I25" s="58">
        <v>43709</v>
      </c>
      <c r="J25" s="60">
        <v>3000000</v>
      </c>
      <c r="K25" s="61">
        <v>7.7499999999999999E-2</v>
      </c>
      <c r="L25" s="62">
        <v>0.9</v>
      </c>
      <c r="M25" s="63">
        <v>3</v>
      </c>
      <c r="N25" s="62">
        <v>12</v>
      </c>
      <c r="O25" s="63">
        <f t="shared" si="3"/>
        <v>52312.5</v>
      </c>
      <c r="P25" s="63">
        <f t="shared" si="4"/>
        <v>1819968.197694957</v>
      </c>
      <c r="Q25" s="63">
        <f t="shared" si="5"/>
        <v>31735.695447305814</v>
      </c>
      <c r="R25" s="63">
        <f t="shared" si="6"/>
        <v>20576.804552694186</v>
      </c>
      <c r="S25" s="64">
        <v>0.606656065898319</v>
      </c>
      <c r="T25" s="63"/>
      <c r="U25" s="62"/>
      <c r="V25" s="63">
        <f t="shared" si="1"/>
        <v>1819968.197694957</v>
      </c>
      <c r="W25" s="63">
        <f t="shared" si="1"/>
        <v>31735.695447305814</v>
      </c>
      <c r="X25" s="65">
        <f t="shared" si="7"/>
        <v>1819968.197694957</v>
      </c>
      <c r="Y25" s="65">
        <f t="shared" si="7"/>
        <v>31735.695447305814</v>
      </c>
      <c r="Z25" s="91"/>
      <c r="AA25" s="91"/>
      <c r="AB25" s="65">
        <f t="shared" si="14"/>
        <v>31735.695447305814</v>
      </c>
      <c r="AC25" s="66">
        <v>0</v>
      </c>
      <c r="AD25" s="66">
        <f t="shared" si="12"/>
        <v>606656.06589831901</v>
      </c>
      <c r="AE25" s="66"/>
      <c r="AF25" s="67"/>
      <c r="AG25" s="67"/>
      <c r="AH25" s="68"/>
      <c r="AI25" s="68"/>
      <c r="AJ25" s="69"/>
      <c r="AK25" s="67">
        <f t="shared" si="8"/>
        <v>31735.695447305814</v>
      </c>
      <c r="AL25" s="67"/>
      <c r="AM25" s="67"/>
      <c r="AN25" s="67"/>
      <c r="AO25" s="67">
        <f t="shared" si="9"/>
        <v>31735.695447305814</v>
      </c>
      <c r="AP25" s="70">
        <f t="shared" si="2"/>
        <v>682488.07413560885</v>
      </c>
      <c r="AQ25" s="70"/>
      <c r="AR25" s="70"/>
      <c r="AS25" s="71"/>
      <c r="AT25" s="72"/>
      <c r="AU25" s="72"/>
      <c r="AV25" s="73"/>
      <c r="AW25" s="74">
        <f t="shared" si="10"/>
        <v>682488.07413560885</v>
      </c>
      <c r="AX25" s="74">
        <f t="shared" si="11"/>
        <v>909984.09884747851</v>
      </c>
      <c r="AY25" s="75"/>
      <c r="AZ25" s="75"/>
      <c r="BA25" s="75"/>
    </row>
    <row r="26" spans="1:53" s="222" customFormat="1" ht="25.5">
      <c r="A26" s="77">
        <f t="shared" si="13"/>
        <v>18</v>
      </c>
      <c r="B26" s="78" t="s">
        <v>89</v>
      </c>
      <c r="C26" s="79" t="s">
        <v>90</v>
      </c>
      <c r="D26" s="78" t="s">
        <v>84</v>
      </c>
      <c r="E26" s="80" t="s">
        <v>58</v>
      </c>
      <c r="F26" s="220">
        <v>43650</v>
      </c>
      <c r="G26" s="78"/>
      <c r="H26" s="81">
        <v>43497</v>
      </c>
      <c r="I26" s="81">
        <v>43497</v>
      </c>
      <c r="J26" s="82">
        <v>4000000</v>
      </c>
      <c r="K26" s="117">
        <v>7.7499999999999999E-2</v>
      </c>
      <c r="L26" s="85">
        <v>0.9</v>
      </c>
      <c r="M26" s="83">
        <v>10</v>
      </c>
      <c r="N26" s="85">
        <v>12</v>
      </c>
      <c r="O26" s="83">
        <f t="shared" si="3"/>
        <v>232500</v>
      </c>
      <c r="P26" s="83">
        <f t="shared" si="4"/>
        <v>2426624.263593276</v>
      </c>
      <c r="Q26" s="83">
        <f t="shared" si="5"/>
        <v>141047.53532135917</v>
      </c>
      <c r="R26" s="83">
        <f t="shared" si="6"/>
        <v>91452.464678640827</v>
      </c>
      <c r="S26" s="84">
        <v>0.606656065898319</v>
      </c>
      <c r="T26" s="118">
        <v>7240000</v>
      </c>
      <c r="U26" s="94">
        <f>420825-U27</f>
        <v>350301.23</v>
      </c>
      <c r="V26" s="83">
        <f t="shared" si="1"/>
        <v>-4813375.736406724</v>
      </c>
      <c r="W26" s="83">
        <f t="shared" si="1"/>
        <v>-209253.69467864081</v>
      </c>
      <c r="X26" s="86">
        <f t="shared" si="7"/>
        <v>-4813375.736406724</v>
      </c>
      <c r="Y26" s="86">
        <f t="shared" si="7"/>
        <v>-209253.69467864081</v>
      </c>
      <c r="Z26" s="86"/>
      <c r="AA26" s="86"/>
      <c r="AB26" s="86">
        <f t="shared" si="14"/>
        <v>-209253.69467864081</v>
      </c>
      <c r="AC26" s="87">
        <v>-3600063.6046100855</v>
      </c>
      <c r="AD26" s="87">
        <f t="shared" si="12"/>
        <v>-4000070.627070792</v>
      </c>
      <c r="AE26" s="87"/>
      <c r="AF26" s="88"/>
      <c r="AG26" s="88"/>
      <c r="AH26" s="88"/>
      <c r="AI26" s="88"/>
      <c r="AJ26" s="88"/>
      <c r="AK26" s="130">
        <f t="shared" si="8"/>
        <v>-209253.69467864081</v>
      </c>
      <c r="AL26" s="130"/>
      <c r="AM26" s="130"/>
      <c r="AN26" s="130"/>
      <c r="AO26" s="130">
        <f t="shared" si="9"/>
        <v>-209253.69467864081</v>
      </c>
      <c r="AP26" s="89">
        <f t="shared" si="2"/>
        <v>-4500079.455454641</v>
      </c>
      <c r="AQ26" s="182"/>
      <c r="AR26" s="182"/>
      <c r="AS26" s="183"/>
      <c r="AT26" s="183"/>
      <c r="AU26" s="183"/>
      <c r="AV26" s="183"/>
      <c r="AW26" s="186">
        <f t="shared" si="10"/>
        <v>-4500079.455454641</v>
      </c>
      <c r="AX26" s="223">
        <f t="shared" si="11"/>
        <v>-6000105.940606188</v>
      </c>
      <c r="AY26" s="221"/>
      <c r="AZ26" s="221"/>
      <c r="BA26" s="221"/>
    </row>
    <row r="27" spans="1:53" s="222" customFormat="1" ht="25.5">
      <c r="A27" s="77">
        <f t="shared" si="13"/>
        <v>19</v>
      </c>
      <c r="B27" s="78" t="s">
        <v>89</v>
      </c>
      <c r="C27" s="79" t="s">
        <v>90</v>
      </c>
      <c r="D27" s="78" t="s">
        <v>84</v>
      </c>
      <c r="E27" s="80" t="s">
        <v>58</v>
      </c>
      <c r="F27" s="220"/>
      <c r="G27" s="78"/>
      <c r="H27" s="81">
        <v>43647</v>
      </c>
      <c r="I27" s="81">
        <v>43647</v>
      </c>
      <c r="J27" s="82">
        <v>4000000</v>
      </c>
      <c r="K27" s="117">
        <v>7.7499999999999999E-2</v>
      </c>
      <c r="L27" s="85">
        <v>0.9</v>
      </c>
      <c r="M27" s="83">
        <v>5</v>
      </c>
      <c r="N27" s="85">
        <v>12</v>
      </c>
      <c r="O27" s="83">
        <f t="shared" si="3"/>
        <v>116250</v>
      </c>
      <c r="P27" s="83">
        <f t="shared" si="4"/>
        <v>2426624.263593276</v>
      </c>
      <c r="Q27" s="83">
        <f t="shared" si="5"/>
        <v>70523.767660679587</v>
      </c>
      <c r="R27" s="83">
        <f t="shared" si="6"/>
        <v>45726.232339320413</v>
      </c>
      <c r="S27" s="84">
        <v>0.606656065898319</v>
      </c>
      <c r="T27" s="83"/>
      <c r="U27" s="85">
        <v>70523.77</v>
      </c>
      <c r="V27" s="83">
        <f t="shared" si="1"/>
        <v>2426624.263593276</v>
      </c>
      <c r="W27" s="83">
        <f t="shared" si="1"/>
        <v>-2.3393204173771665E-3</v>
      </c>
      <c r="X27" s="86">
        <f t="shared" si="7"/>
        <v>2426624.263593276</v>
      </c>
      <c r="Y27" s="86">
        <f t="shared" si="7"/>
        <v>-2.3393204173771665E-3</v>
      </c>
      <c r="Z27" s="93"/>
      <c r="AA27" s="93"/>
      <c r="AB27" s="86">
        <f t="shared" si="14"/>
        <v>-2.3393204173771665E-3</v>
      </c>
      <c r="AC27" s="87">
        <v>0</v>
      </c>
      <c r="AD27" s="87">
        <f t="shared" si="12"/>
        <v>-4.471819196897809E-2</v>
      </c>
      <c r="AE27" s="87"/>
      <c r="AF27" s="88"/>
      <c r="AG27" s="88"/>
      <c r="AH27" s="88"/>
      <c r="AI27" s="88"/>
      <c r="AJ27" s="88"/>
      <c r="AK27" s="130">
        <f t="shared" si="8"/>
        <v>-2.3393204173771665E-3</v>
      </c>
      <c r="AL27" s="130"/>
      <c r="AM27" s="130"/>
      <c r="AN27" s="130"/>
      <c r="AO27" s="130">
        <f t="shared" si="9"/>
        <v>-2.3393204173771665E-3</v>
      </c>
      <c r="AP27" s="89">
        <f t="shared" si="2"/>
        <v>-5.0307965965100357E-2</v>
      </c>
      <c r="AQ27" s="182"/>
      <c r="AR27" s="182"/>
      <c r="AS27" s="183"/>
      <c r="AT27" s="183"/>
      <c r="AU27" s="183"/>
      <c r="AV27" s="183"/>
      <c r="AW27" s="186">
        <f t="shared" si="10"/>
        <v>-5.0307965965100357E-2</v>
      </c>
      <c r="AX27" s="223">
        <f t="shared" si="11"/>
        <v>-6.7077287953467138E-2</v>
      </c>
      <c r="AY27" s="221"/>
      <c r="AZ27" s="221"/>
      <c r="BA27" s="221"/>
    </row>
    <row r="28" spans="1:53" s="230" customFormat="1" ht="25.5">
      <c r="A28" s="120">
        <f t="shared" si="13"/>
        <v>20</v>
      </c>
      <c r="B28" s="80" t="s">
        <v>91</v>
      </c>
      <c r="C28" s="121" t="s">
        <v>92</v>
      </c>
      <c r="D28" s="80" t="s">
        <v>84</v>
      </c>
      <c r="E28" s="80" t="s">
        <v>58</v>
      </c>
      <c r="F28" s="57">
        <v>51449</v>
      </c>
      <c r="G28" s="55"/>
      <c r="H28" s="58">
        <v>43525</v>
      </c>
      <c r="I28" s="122">
        <v>43525</v>
      </c>
      <c r="J28" s="123">
        <v>4000000</v>
      </c>
      <c r="K28" s="61">
        <v>7.7499999999999999E-2</v>
      </c>
      <c r="L28" s="62">
        <v>0.9</v>
      </c>
      <c r="M28" s="63">
        <v>9</v>
      </c>
      <c r="N28" s="62">
        <v>12</v>
      </c>
      <c r="O28" s="126">
        <f t="shared" si="3"/>
        <v>209250</v>
      </c>
      <c r="P28" s="63">
        <f t="shared" si="4"/>
        <v>2426624.263593276</v>
      </c>
      <c r="Q28" s="126">
        <f t="shared" si="5"/>
        <v>126942.78178922326</v>
      </c>
      <c r="R28" s="126">
        <f t="shared" si="6"/>
        <v>82307.218210776744</v>
      </c>
      <c r="S28" s="127">
        <v>0.606656065898319</v>
      </c>
      <c r="T28" s="63"/>
      <c r="U28" s="62"/>
      <c r="V28" s="126">
        <f t="shared" si="1"/>
        <v>2426624.263593276</v>
      </c>
      <c r="W28" s="126">
        <f t="shared" si="1"/>
        <v>126942.78178922326</v>
      </c>
      <c r="X28" s="128">
        <f t="shared" si="7"/>
        <v>2426624.263593276</v>
      </c>
      <c r="Y28" s="65">
        <f t="shared" si="7"/>
        <v>126942.78178922326</v>
      </c>
      <c r="Z28" s="65">
        <v>125893.97</v>
      </c>
      <c r="AA28" s="65"/>
      <c r="AB28" s="65">
        <f t="shared" si="14"/>
        <v>1048.8117892232549</v>
      </c>
      <c r="AC28" s="66">
        <v>-1616038.1627660515</v>
      </c>
      <c r="AD28" s="66">
        <f t="shared" si="12"/>
        <v>20048.970881209174</v>
      </c>
      <c r="AE28" s="66"/>
      <c r="AF28" s="67"/>
      <c r="AG28" s="67"/>
      <c r="AH28" s="68"/>
      <c r="AI28" s="68"/>
      <c r="AJ28" s="69"/>
      <c r="AK28" s="67">
        <f t="shared" si="8"/>
        <v>1048.8117892232549</v>
      </c>
      <c r="AL28" s="67"/>
      <c r="AM28" s="67"/>
      <c r="AN28" s="67"/>
      <c r="AO28" s="130">
        <f t="shared" si="9"/>
        <v>1048.8117892232549</v>
      </c>
      <c r="AP28" s="70">
        <f t="shared" si="2"/>
        <v>22555.092241360318</v>
      </c>
      <c r="AQ28" s="70"/>
      <c r="AR28" s="70"/>
      <c r="AS28" s="71"/>
      <c r="AT28" s="72"/>
      <c r="AU28" s="72"/>
      <c r="AV28" s="73"/>
      <c r="AW28" s="74">
        <f t="shared" si="10"/>
        <v>22555.092241360318</v>
      </c>
      <c r="AX28" s="186">
        <f t="shared" si="11"/>
        <v>30073.456321813763</v>
      </c>
      <c r="AY28" s="75"/>
      <c r="AZ28" s="75"/>
      <c r="BA28" s="75"/>
    </row>
    <row r="29" spans="1:53" s="76" customFormat="1" ht="25.5">
      <c r="A29" s="54">
        <f t="shared" si="13"/>
        <v>21</v>
      </c>
      <c r="B29" s="55" t="s">
        <v>93</v>
      </c>
      <c r="C29" s="56" t="s">
        <v>94</v>
      </c>
      <c r="D29" s="55" t="s">
        <v>84</v>
      </c>
      <c r="E29" s="55" t="s">
        <v>58</v>
      </c>
      <c r="F29" s="57"/>
      <c r="G29" s="55"/>
      <c r="H29" s="58">
        <v>43556</v>
      </c>
      <c r="I29" s="58">
        <v>43556</v>
      </c>
      <c r="J29" s="60">
        <v>500000</v>
      </c>
      <c r="K29" s="61">
        <v>7.7499999999999999E-2</v>
      </c>
      <c r="L29" s="62">
        <v>0.9</v>
      </c>
      <c r="M29" s="63">
        <v>8</v>
      </c>
      <c r="N29" s="62">
        <v>12</v>
      </c>
      <c r="O29" s="63">
        <f t="shared" si="3"/>
        <v>23250</v>
      </c>
      <c r="P29" s="63">
        <f t="shared" si="4"/>
        <v>303328.0329491595</v>
      </c>
      <c r="Q29" s="63">
        <f t="shared" si="5"/>
        <v>14104.753532135917</v>
      </c>
      <c r="R29" s="63">
        <f t="shared" si="6"/>
        <v>9145.2464678640827</v>
      </c>
      <c r="S29" s="64">
        <v>0.606656065898319</v>
      </c>
      <c r="T29" s="63"/>
      <c r="U29" s="62"/>
      <c r="V29" s="63">
        <f t="shared" si="1"/>
        <v>303328.0329491595</v>
      </c>
      <c r="W29" s="63">
        <f t="shared" si="1"/>
        <v>14104.753532135917</v>
      </c>
      <c r="X29" s="65">
        <f t="shared" si="7"/>
        <v>303328.0329491595</v>
      </c>
      <c r="Y29" s="65">
        <f t="shared" si="7"/>
        <v>14104.753532135917</v>
      </c>
      <c r="Z29" s="65"/>
      <c r="AA29" s="65"/>
      <c r="AB29" s="65">
        <f t="shared" si="14"/>
        <v>14104.753532135917</v>
      </c>
      <c r="AC29" s="66">
        <v>242662.42635932763</v>
      </c>
      <c r="AD29" s="66">
        <f t="shared" si="12"/>
        <v>269624.91817703069</v>
      </c>
      <c r="AE29" s="66"/>
      <c r="AF29" s="67"/>
      <c r="AG29" s="67"/>
      <c r="AH29" s="68"/>
      <c r="AI29" s="68">
        <v>13995.39</v>
      </c>
      <c r="AJ29" s="69"/>
      <c r="AK29" s="67">
        <f t="shared" si="8"/>
        <v>109.36353213591792</v>
      </c>
      <c r="AL29" s="67"/>
      <c r="AM29" s="67"/>
      <c r="AN29" s="67"/>
      <c r="AO29" s="67">
        <f t="shared" si="9"/>
        <v>109.36353213591792</v>
      </c>
      <c r="AP29" s="70">
        <f t="shared" si="2"/>
        <v>303328.0329491595</v>
      </c>
      <c r="AQ29" s="70"/>
      <c r="AR29" s="70"/>
      <c r="AS29" s="71"/>
      <c r="AT29" s="72"/>
      <c r="AU29" s="107">
        <v>465000</v>
      </c>
      <c r="AV29" s="113"/>
      <c r="AW29" s="74">
        <f t="shared" si="10"/>
        <v>-161671.9670508405</v>
      </c>
      <c r="AX29" s="74">
        <f t="shared" si="11"/>
        <v>3135.8718892019479</v>
      </c>
      <c r="AY29" s="75"/>
      <c r="AZ29" s="75"/>
      <c r="BA29" s="75"/>
    </row>
    <row r="30" spans="1:53" s="2" customFormat="1" ht="25.5">
      <c r="A30" s="97">
        <f t="shared" si="13"/>
        <v>22</v>
      </c>
      <c r="B30" s="98" t="s">
        <v>95</v>
      </c>
      <c r="C30" s="109" t="s">
        <v>96</v>
      </c>
      <c r="D30" s="98" t="s">
        <v>97</v>
      </c>
      <c r="E30" s="110" t="s">
        <v>85</v>
      </c>
      <c r="F30" s="99">
        <v>191387</v>
      </c>
      <c r="G30" s="98"/>
      <c r="H30" s="100">
        <v>43586</v>
      </c>
      <c r="I30" s="100">
        <v>43586</v>
      </c>
      <c r="J30" s="101">
        <v>20000000</v>
      </c>
      <c r="K30" s="111">
        <v>7.7499999999999999E-2</v>
      </c>
      <c r="L30" s="104">
        <v>0.9</v>
      </c>
      <c r="M30" s="102">
        <v>7</v>
      </c>
      <c r="N30" s="104">
        <v>12</v>
      </c>
      <c r="O30" s="102">
        <f t="shared" si="3"/>
        <v>813750</v>
      </c>
      <c r="P30" s="102">
        <f t="shared" si="4"/>
        <v>12133121.317966379</v>
      </c>
      <c r="Q30" s="102">
        <f t="shared" si="5"/>
        <v>493666.37362475699</v>
      </c>
      <c r="R30" s="102">
        <f t="shared" si="6"/>
        <v>320083.62637524301</v>
      </c>
      <c r="S30" s="103">
        <v>0.606656065898319</v>
      </c>
      <c r="T30" s="102"/>
      <c r="U30" s="104"/>
      <c r="V30" s="102">
        <f t="shared" si="1"/>
        <v>12133121.317966379</v>
      </c>
      <c r="W30" s="102">
        <f t="shared" si="1"/>
        <v>493666.37362475699</v>
      </c>
      <c r="X30" s="105">
        <f t="shared" si="7"/>
        <v>12133121.317966379</v>
      </c>
      <c r="Y30" s="105">
        <f t="shared" si="7"/>
        <v>493666.37362475699</v>
      </c>
      <c r="Z30" s="105"/>
      <c r="AA30" s="105"/>
      <c r="AB30" s="105">
        <f t="shared" si="14"/>
        <v>493666.37362475699</v>
      </c>
      <c r="AC30" s="106">
        <v>8493184.9225764647</v>
      </c>
      <c r="AD30" s="106">
        <f t="shared" si="12"/>
        <v>9436872.1361960731</v>
      </c>
      <c r="AE30" s="106"/>
      <c r="AF30" s="68"/>
      <c r="AG30" s="68"/>
      <c r="AH30" s="68"/>
      <c r="AI30" s="68"/>
      <c r="AJ30" s="69"/>
      <c r="AK30" s="67">
        <f t="shared" si="8"/>
        <v>493666.37362475699</v>
      </c>
      <c r="AL30" s="67"/>
      <c r="AM30" s="67"/>
      <c r="AN30" s="67"/>
      <c r="AO30" s="67">
        <f t="shared" si="9"/>
        <v>493666.37362475699</v>
      </c>
      <c r="AP30" s="107">
        <f t="shared" si="2"/>
        <v>10616481.153220581</v>
      </c>
      <c r="AQ30" s="107"/>
      <c r="AR30" s="107"/>
      <c r="AS30" s="72"/>
      <c r="AT30" s="72"/>
      <c r="AU30" s="72"/>
      <c r="AV30" s="73"/>
      <c r="AW30" s="74">
        <f t="shared" si="10"/>
        <v>10616481.153220581</v>
      </c>
      <c r="AX30" s="74">
        <f t="shared" si="11"/>
        <v>14155308.204294108</v>
      </c>
      <c r="AY30" s="108"/>
      <c r="AZ30" s="108"/>
      <c r="BA30" s="108"/>
    </row>
    <row r="31" spans="1:53" s="222" customFormat="1" ht="25.5">
      <c r="A31" s="77">
        <f t="shared" si="13"/>
        <v>23</v>
      </c>
      <c r="B31" s="78" t="s">
        <v>98</v>
      </c>
      <c r="C31" s="79" t="s">
        <v>99</v>
      </c>
      <c r="D31" s="78" t="s">
        <v>57</v>
      </c>
      <c r="E31" s="80" t="s">
        <v>58</v>
      </c>
      <c r="F31" s="220">
        <v>51606</v>
      </c>
      <c r="G31" s="78"/>
      <c r="H31" s="81">
        <v>43525</v>
      </c>
      <c r="I31" s="81">
        <v>43525</v>
      </c>
      <c r="J31" s="82">
        <v>5000000</v>
      </c>
      <c r="K31" s="117">
        <v>7.7499999999999999E-2</v>
      </c>
      <c r="L31" s="85">
        <v>0.9</v>
      </c>
      <c r="M31" s="83">
        <v>9</v>
      </c>
      <c r="N31" s="85">
        <v>12</v>
      </c>
      <c r="O31" s="83">
        <f t="shared" si="3"/>
        <v>261562.5</v>
      </c>
      <c r="P31" s="83">
        <f t="shared" si="4"/>
        <v>3033280.3294915948</v>
      </c>
      <c r="Q31" s="83">
        <f t="shared" si="5"/>
        <v>158678.47723652906</v>
      </c>
      <c r="R31" s="83">
        <f t="shared" si="6"/>
        <v>102884.02276347094</v>
      </c>
      <c r="S31" s="84">
        <v>0.606656065898319</v>
      </c>
      <c r="T31" s="83">
        <v>7000000</v>
      </c>
      <c r="U31" s="83">
        <v>406875</v>
      </c>
      <c r="V31" s="83">
        <f t="shared" si="1"/>
        <v>-3966719.6705084052</v>
      </c>
      <c r="W31" s="83">
        <f t="shared" si="1"/>
        <v>-248196.52276347094</v>
      </c>
      <c r="X31" s="86">
        <f t="shared" si="7"/>
        <v>-3966719.6705084052</v>
      </c>
      <c r="Y31" s="86">
        <f t="shared" si="7"/>
        <v>-248196.52276347094</v>
      </c>
      <c r="Z31" s="86"/>
      <c r="AA31" s="86"/>
      <c r="AB31" s="86">
        <f t="shared" si="14"/>
        <v>-248196.52276347094</v>
      </c>
      <c r="AC31" s="87">
        <v>-4270047.7034575641</v>
      </c>
      <c r="AD31" s="87">
        <f t="shared" si="12"/>
        <v>-4744497.4482861832</v>
      </c>
      <c r="AE31" s="87"/>
      <c r="AF31" s="88"/>
      <c r="AG31" s="88"/>
      <c r="AH31" s="88"/>
      <c r="AI31" s="88"/>
      <c r="AJ31" s="88"/>
      <c r="AK31" s="130">
        <f t="shared" si="8"/>
        <v>-248196.52276347094</v>
      </c>
      <c r="AL31" s="130"/>
      <c r="AM31" s="130"/>
      <c r="AN31" s="130"/>
      <c r="AO31" s="130">
        <f t="shared" si="9"/>
        <v>-248196.52276347094</v>
      </c>
      <c r="AP31" s="89">
        <f t="shared" si="2"/>
        <v>-5337559.6293219561</v>
      </c>
      <c r="AQ31" s="182"/>
      <c r="AR31" s="182"/>
      <c r="AS31" s="183"/>
      <c r="AT31" s="183"/>
      <c r="AU31" s="183"/>
      <c r="AV31" s="183"/>
      <c r="AW31" s="186">
        <f t="shared" si="10"/>
        <v>-5337559.6293219561</v>
      </c>
      <c r="AX31" s="223">
        <f t="shared" si="11"/>
        <v>-7116746.1724292748</v>
      </c>
      <c r="AY31" s="221"/>
      <c r="AZ31" s="221"/>
      <c r="BA31" s="221"/>
    </row>
    <row r="32" spans="1:53" s="230" customFormat="1" ht="25.5">
      <c r="A32" s="120">
        <f t="shared" si="13"/>
        <v>24</v>
      </c>
      <c r="B32" s="80" t="s">
        <v>100</v>
      </c>
      <c r="C32" s="121" t="s">
        <v>101</v>
      </c>
      <c r="D32" s="80" t="s">
        <v>57</v>
      </c>
      <c r="E32" s="80" t="s">
        <v>58</v>
      </c>
      <c r="F32" s="226"/>
      <c r="G32" s="80"/>
      <c r="H32" s="122">
        <v>43497</v>
      </c>
      <c r="I32" s="122" t="s">
        <v>102</v>
      </c>
      <c r="J32" s="123">
        <v>6000000</v>
      </c>
      <c r="K32" s="124">
        <v>7.7499999999999999E-2</v>
      </c>
      <c r="L32" s="125">
        <v>0.9</v>
      </c>
      <c r="M32" s="126">
        <v>10</v>
      </c>
      <c r="N32" s="125">
        <v>12</v>
      </c>
      <c r="O32" s="126">
        <f t="shared" si="3"/>
        <v>348750</v>
      </c>
      <c r="P32" s="126">
        <f t="shared" si="4"/>
        <v>3639936.395389914</v>
      </c>
      <c r="Q32" s="126">
        <f t="shared" si="5"/>
        <v>211571.30298203873</v>
      </c>
      <c r="R32" s="126">
        <f t="shared" si="6"/>
        <v>137178.69701796127</v>
      </c>
      <c r="S32" s="127">
        <v>0.606656065898319</v>
      </c>
      <c r="T32" s="126"/>
      <c r="U32" s="125"/>
      <c r="V32" s="126">
        <f t="shared" si="1"/>
        <v>3639936.395389914</v>
      </c>
      <c r="W32" s="126">
        <f t="shared" si="1"/>
        <v>211571.30298203873</v>
      </c>
      <c r="X32" s="128">
        <f t="shared" si="7"/>
        <v>3639936.395389914</v>
      </c>
      <c r="Y32" s="128">
        <f t="shared" si="7"/>
        <v>211571.30298203873</v>
      </c>
      <c r="Z32" s="128"/>
      <c r="AA32" s="128"/>
      <c r="AB32" s="128">
        <f t="shared" si="14"/>
        <v>211571.30298203873</v>
      </c>
      <c r="AC32" s="129">
        <v>3639936.395389914</v>
      </c>
      <c r="AD32" s="129">
        <f t="shared" si="12"/>
        <v>4044373.7726554601</v>
      </c>
      <c r="AE32" s="129">
        <v>211571.28</v>
      </c>
      <c r="AF32" s="130"/>
      <c r="AG32" s="130"/>
      <c r="AH32" s="130"/>
      <c r="AI32" s="130"/>
      <c r="AJ32" s="130"/>
      <c r="AK32" s="130">
        <f t="shared" si="8"/>
        <v>2.2982038732152432E-2</v>
      </c>
      <c r="AL32" s="130"/>
      <c r="AM32" s="130"/>
      <c r="AN32" s="130"/>
      <c r="AO32" s="130">
        <f t="shared" si="9"/>
        <v>2.2982038732152432E-2</v>
      </c>
      <c r="AP32" s="119">
        <f t="shared" si="2"/>
        <v>4549920.4942373922</v>
      </c>
      <c r="AQ32" s="242">
        <v>4549920</v>
      </c>
      <c r="AR32" s="242"/>
      <c r="AS32" s="185"/>
      <c r="AT32" s="185"/>
      <c r="AU32" s="185"/>
      <c r="AV32" s="185"/>
      <c r="AW32" s="186">
        <f t="shared" si="10"/>
        <v>0.49423739220947027</v>
      </c>
      <c r="AX32" s="186">
        <f t="shared" si="11"/>
        <v>0.65898318945239942</v>
      </c>
      <c r="AY32" s="229"/>
      <c r="AZ32" s="229"/>
      <c r="BA32" s="229"/>
    </row>
    <row r="33" spans="1:53" s="76" customFormat="1" ht="25.5">
      <c r="A33" s="54">
        <f t="shared" si="13"/>
        <v>25</v>
      </c>
      <c r="B33" s="55" t="s">
        <v>103</v>
      </c>
      <c r="C33" s="56" t="s">
        <v>104</v>
      </c>
      <c r="D33" s="55" t="s">
        <v>105</v>
      </c>
      <c r="E33" s="55" t="s">
        <v>58</v>
      </c>
      <c r="F33" s="57">
        <v>72315</v>
      </c>
      <c r="G33" s="55"/>
      <c r="H33" s="58">
        <v>43586</v>
      </c>
      <c r="I33" s="58">
        <v>43586</v>
      </c>
      <c r="J33" s="60">
        <v>10000000</v>
      </c>
      <c r="K33" s="61">
        <v>7.7499999999999999E-2</v>
      </c>
      <c r="L33" s="62">
        <v>0.9</v>
      </c>
      <c r="M33" s="63">
        <v>7</v>
      </c>
      <c r="N33" s="62">
        <v>12</v>
      </c>
      <c r="O33" s="63">
        <f t="shared" si="3"/>
        <v>406875</v>
      </c>
      <c r="P33" s="63">
        <f t="shared" si="4"/>
        <v>6066560.6589831896</v>
      </c>
      <c r="Q33" s="63">
        <f t="shared" si="5"/>
        <v>246833.1868123785</v>
      </c>
      <c r="R33" s="63">
        <f t="shared" si="6"/>
        <v>160041.8131876215</v>
      </c>
      <c r="S33" s="64">
        <v>0.606656065898319</v>
      </c>
      <c r="T33" s="63"/>
      <c r="U33" s="62"/>
      <c r="V33" s="63">
        <f t="shared" si="1"/>
        <v>6066560.6589831896</v>
      </c>
      <c r="W33" s="63">
        <f t="shared" si="1"/>
        <v>246833.1868123785</v>
      </c>
      <c r="X33" s="65">
        <f t="shared" si="7"/>
        <v>6066560.6589831896</v>
      </c>
      <c r="Y33" s="65">
        <f t="shared" si="7"/>
        <v>246833.1868123785</v>
      </c>
      <c r="Z33" s="65"/>
      <c r="AA33" s="65"/>
      <c r="AB33" s="65">
        <f t="shared" si="14"/>
        <v>246833.1868123785</v>
      </c>
      <c r="AC33" s="66">
        <v>4246592.4612882324</v>
      </c>
      <c r="AD33" s="66">
        <f t="shared" si="12"/>
        <v>4718436.0680980366</v>
      </c>
      <c r="AE33" s="66"/>
      <c r="AF33" s="67"/>
      <c r="AG33" s="67"/>
      <c r="AH33" s="68"/>
      <c r="AI33" s="68"/>
      <c r="AJ33" s="69"/>
      <c r="AK33" s="67">
        <f t="shared" si="8"/>
        <v>246833.1868123785</v>
      </c>
      <c r="AL33" s="67"/>
      <c r="AM33" s="67"/>
      <c r="AN33" s="67"/>
      <c r="AO33" s="67">
        <f t="shared" si="9"/>
        <v>246833.1868123785</v>
      </c>
      <c r="AP33" s="70">
        <f t="shared" si="2"/>
        <v>5308240.5766102904</v>
      </c>
      <c r="AQ33" s="70"/>
      <c r="AR33" s="70"/>
      <c r="AS33" s="71"/>
      <c r="AT33" s="72"/>
      <c r="AU33" s="72"/>
      <c r="AV33" s="73"/>
      <c r="AW33" s="74">
        <f t="shared" si="10"/>
        <v>5308240.5766102904</v>
      </c>
      <c r="AX33" s="74">
        <f t="shared" si="11"/>
        <v>7077654.1021470539</v>
      </c>
      <c r="AY33" s="75"/>
      <c r="AZ33" s="75"/>
      <c r="BA33" s="75"/>
    </row>
    <row r="34" spans="1:53" s="222" customFormat="1" ht="25.5">
      <c r="A34" s="77">
        <f t="shared" si="13"/>
        <v>26</v>
      </c>
      <c r="B34" s="78" t="s">
        <v>106</v>
      </c>
      <c r="C34" s="79" t="s">
        <v>107</v>
      </c>
      <c r="D34" s="78" t="s">
        <v>57</v>
      </c>
      <c r="E34" s="80" t="s">
        <v>85</v>
      </c>
      <c r="F34" s="220">
        <v>191495</v>
      </c>
      <c r="G34" s="78"/>
      <c r="H34" s="81">
        <v>43556</v>
      </c>
      <c r="I34" s="81">
        <v>43556</v>
      </c>
      <c r="J34" s="82">
        <v>10000000</v>
      </c>
      <c r="K34" s="117">
        <v>7.7499999999999999E-2</v>
      </c>
      <c r="L34" s="85">
        <v>0.9</v>
      </c>
      <c r="M34" s="83">
        <v>8</v>
      </c>
      <c r="N34" s="85">
        <v>12</v>
      </c>
      <c r="O34" s="83">
        <f t="shared" si="3"/>
        <v>465000</v>
      </c>
      <c r="P34" s="83">
        <f t="shared" si="4"/>
        <v>6066560.6589831896</v>
      </c>
      <c r="Q34" s="83">
        <f t="shared" si="5"/>
        <v>282095.07064271829</v>
      </c>
      <c r="R34" s="83">
        <f t="shared" si="6"/>
        <v>182904.92935728171</v>
      </c>
      <c r="S34" s="84">
        <v>0.606656065898319</v>
      </c>
      <c r="T34" s="83">
        <v>35000000</v>
      </c>
      <c r="U34" s="83">
        <v>2034375</v>
      </c>
      <c r="V34" s="83">
        <f t="shared" si="1"/>
        <v>-28933439.34101681</v>
      </c>
      <c r="W34" s="83">
        <f t="shared" si="1"/>
        <v>-1752279.9293572817</v>
      </c>
      <c r="X34" s="86">
        <f t="shared" si="7"/>
        <v>-28933439.34101681</v>
      </c>
      <c r="Y34" s="86">
        <f t="shared" si="7"/>
        <v>-1752279.9293572817</v>
      </c>
      <c r="Z34" s="86"/>
      <c r="AA34" s="86"/>
      <c r="AB34" s="86">
        <f t="shared" si="14"/>
        <v>-1752279.9293572817</v>
      </c>
      <c r="AC34" s="87">
        <v>-30146751.472813446</v>
      </c>
      <c r="AD34" s="87">
        <f t="shared" si="12"/>
        <v>-33496390.525348276</v>
      </c>
      <c r="AE34" s="87"/>
      <c r="AF34" s="88"/>
      <c r="AG34" s="88"/>
      <c r="AH34" s="88"/>
      <c r="AI34" s="88"/>
      <c r="AJ34" s="88"/>
      <c r="AK34" s="130">
        <f t="shared" si="8"/>
        <v>-1752279.9293572817</v>
      </c>
      <c r="AL34" s="130"/>
      <c r="AM34" s="130"/>
      <c r="AN34" s="130"/>
      <c r="AO34" s="130">
        <f>AK34-AL34-AM34-AN34+70523.77</f>
        <v>-1681756.1593572816</v>
      </c>
      <c r="AP34" s="89">
        <f t="shared" si="2"/>
        <v>-37683439.341016814</v>
      </c>
      <c r="AQ34" s="182"/>
      <c r="AR34" s="182"/>
      <c r="AS34" s="183"/>
      <c r="AT34" s="183"/>
      <c r="AU34" s="183"/>
      <c r="AV34" s="183"/>
      <c r="AW34" s="186">
        <f t="shared" si="10"/>
        <v>-37683439.341016814</v>
      </c>
      <c r="AX34" s="223">
        <f>AO34/K34/L34/6*N34</f>
        <v>-48222398.834617391</v>
      </c>
      <c r="AY34" s="221"/>
      <c r="AZ34" s="221"/>
      <c r="BA34" s="221"/>
    </row>
    <row r="35" spans="1:53" s="230" customFormat="1" ht="25.5">
      <c r="A35" s="120">
        <f t="shared" si="13"/>
        <v>27</v>
      </c>
      <c r="B35" s="80" t="s">
        <v>108</v>
      </c>
      <c r="C35" s="121" t="s">
        <v>109</v>
      </c>
      <c r="D35" s="80" t="s">
        <v>57</v>
      </c>
      <c r="E35" s="80" t="s">
        <v>85</v>
      </c>
      <c r="F35" s="226">
        <v>193466</v>
      </c>
      <c r="G35" s="80"/>
      <c r="H35" s="122">
        <v>43739</v>
      </c>
      <c r="I35" s="122">
        <v>43739</v>
      </c>
      <c r="J35" s="123">
        <v>10000000</v>
      </c>
      <c r="K35" s="124">
        <v>7.7499999999999999E-2</v>
      </c>
      <c r="L35" s="125">
        <v>0.9</v>
      </c>
      <c r="M35" s="126">
        <v>2</v>
      </c>
      <c r="N35" s="125">
        <v>12</v>
      </c>
      <c r="O35" s="126">
        <f t="shared" si="3"/>
        <v>116250</v>
      </c>
      <c r="P35" s="126">
        <f t="shared" si="4"/>
        <v>6066560.6589831896</v>
      </c>
      <c r="Q35" s="126">
        <f t="shared" si="5"/>
        <v>70523.767660679572</v>
      </c>
      <c r="R35" s="126">
        <f t="shared" si="6"/>
        <v>45726.232339320428</v>
      </c>
      <c r="S35" s="127">
        <v>0.606656065898319</v>
      </c>
      <c r="T35" s="126"/>
      <c r="U35" s="125"/>
      <c r="V35" s="126">
        <f t="shared" si="1"/>
        <v>6066560.6589831896</v>
      </c>
      <c r="W35" s="126">
        <f t="shared" si="1"/>
        <v>70523.767660679572</v>
      </c>
      <c r="X35" s="128">
        <f t="shared" si="7"/>
        <v>6066560.6589831896</v>
      </c>
      <c r="Y35" s="128">
        <f t="shared" si="7"/>
        <v>70523.767660679572</v>
      </c>
      <c r="Z35" s="128"/>
      <c r="AA35" s="128"/>
      <c r="AB35" s="128">
        <f t="shared" si="14"/>
        <v>70523.767660679572</v>
      </c>
      <c r="AC35" s="129">
        <v>1213312.1317966378</v>
      </c>
      <c r="AD35" s="129">
        <f t="shared" si="12"/>
        <v>1348124.5908851533</v>
      </c>
      <c r="AE35" s="129"/>
      <c r="AF35" s="130"/>
      <c r="AG35" s="130"/>
      <c r="AH35" s="130"/>
      <c r="AI35" s="130"/>
      <c r="AJ35" s="130"/>
      <c r="AK35" s="130">
        <f t="shared" si="8"/>
        <v>70523.767660679572</v>
      </c>
      <c r="AL35" s="130"/>
      <c r="AM35" s="130"/>
      <c r="AN35" s="130"/>
      <c r="AO35" s="133">
        <f>AK35-AL35-AM35-AN35-70523.77</f>
        <v>-2.3393204319290817E-3</v>
      </c>
      <c r="AP35" s="89">
        <f t="shared" si="2"/>
        <v>1516640.1647457974</v>
      </c>
      <c r="AQ35" s="89"/>
      <c r="AR35" s="89"/>
      <c r="AS35" s="232"/>
      <c r="AT35" s="232"/>
      <c r="AU35" s="232"/>
      <c r="AV35" s="232"/>
      <c r="AW35" s="223">
        <f t="shared" si="10"/>
        <v>1516640.1647457974</v>
      </c>
      <c r="AX35" s="223">
        <f t="shared" si="11"/>
        <v>-6.7077288370726351E-2</v>
      </c>
      <c r="AY35" s="229"/>
      <c r="AZ35" s="229"/>
      <c r="BA35" s="229"/>
    </row>
    <row r="36" spans="1:53" s="230" customFormat="1" ht="25.5">
      <c r="A36" s="120">
        <f t="shared" si="13"/>
        <v>28</v>
      </c>
      <c r="B36" s="80" t="s">
        <v>110</v>
      </c>
      <c r="C36" s="121" t="s">
        <v>111</v>
      </c>
      <c r="D36" s="80" t="s">
        <v>57</v>
      </c>
      <c r="E36" s="80" t="s">
        <v>58</v>
      </c>
      <c r="F36" s="226"/>
      <c r="G36" s="80"/>
      <c r="H36" s="122">
        <v>43497</v>
      </c>
      <c r="I36" s="137" t="s">
        <v>112</v>
      </c>
      <c r="J36" s="123">
        <v>1500000</v>
      </c>
      <c r="K36" s="124">
        <v>7.7499999999999999E-2</v>
      </c>
      <c r="L36" s="125">
        <v>0.9</v>
      </c>
      <c r="M36" s="126">
        <v>10</v>
      </c>
      <c r="N36" s="125">
        <v>12</v>
      </c>
      <c r="O36" s="126">
        <f t="shared" si="3"/>
        <v>87187.5</v>
      </c>
      <c r="P36" s="126">
        <f t="shared" si="4"/>
        <v>909984.09884747851</v>
      </c>
      <c r="Q36" s="126">
        <f t="shared" si="5"/>
        <v>52892.825745509683</v>
      </c>
      <c r="R36" s="126">
        <f t="shared" si="6"/>
        <v>34294.674254490317</v>
      </c>
      <c r="S36" s="127">
        <v>0.606656065898319</v>
      </c>
      <c r="T36" s="126"/>
      <c r="U36" s="125"/>
      <c r="V36" s="126">
        <f t="shared" si="1"/>
        <v>909984.09884747851</v>
      </c>
      <c r="W36" s="126">
        <f t="shared" si="1"/>
        <v>52892.825745509683</v>
      </c>
      <c r="X36" s="128">
        <f t="shared" si="7"/>
        <v>909984.09884747851</v>
      </c>
      <c r="Y36" s="128">
        <f t="shared" si="7"/>
        <v>52892.825745509683</v>
      </c>
      <c r="Z36" s="128"/>
      <c r="AA36" s="128"/>
      <c r="AB36" s="128">
        <f t="shared" si="14"/>
        <v>52892.825745509683</v>
      </c>
      <c r="AC36" s="129">
        <v>909984.09884747851</v>
      </c>
      <c r="AD36" s="129">
        <f t="shared" si="12"/>
        <v>1011093.443163865</v>
      </c>
      <c r="AE36" s="129"/>
      <c r="AF36" s="130">
        <v>-52892.83</v>
      </c>
      <c r="AG36" s="130"/>
      <c r="AH36" s="130"/>
      <c r="AI36" s="130"/>
      <c r="AJ36" s="130"/>
      <c r="AK36" s="130">
        <f t="shared" si="8"/>
        <v>-4.2544903189991601E-3</v>
      </c>
      <c r="AL36" s="130"/>
      <c r="AM36" s="130"/>
      <c r="AN36" s="130"/>
      <c r="AO36" s="130">
        <f t="shared" si="9"/>
        <v>-4.2544903189991601E-3</v>
      </c>
      <c r="AP36" s="119">
        <f t="shared" si="2"/>
        <v>1137480.1235593481</v>
      </c>
      <c r="AQ36" s="119"/>
      <c r="AR36" s="89">
        <v>-1137480.1200000001</v>
      </c>
      <c r="AS36" s="185"/>
      <c r="AT36" s="185"/>
      <c r="AU36" s="185"/>
      <c r="AV36" s="185"/>
      <c r="AW36" s="186">
        <f t="shared" si="10"/>
        <v>3.5593479406088591E-3</v>
      </c>
      <c r="AX36" s="223">
        <f t="shared" si="11"/>
        <v>-0.12199255394979669</v>
      </c>
      <c r="AY36" s="229"/>
      <c r="AZ36" s="229"/>
      <c r="BA36" s="229"/>
    </row>
    <row r="37" spans="1:53" s="76" customFormat="1" ht="51">
      <c r="A37" s="54">
        <f t="shared" si="13"/>
        <v>29</v>
      </c>
      <c r="B37" s="55" t="s">
        <v>113</v>
      </c>
      <c r="C37" s="56" t="s">
        <v>114</v>
      </c>
      <c r="D37" s="55" t="s">
        <v>57</v>
      </c>
      <c r="E37" s="55" t="s">
        <v>58</v>
      </c>
      <c r="F37" s="57">
        <v>46992</v>
      </c>
      <c r="G37" s="55"/>
      <c r="H37" s="58">
        <v>43586</v>
      </c>
      <c r="I37" s="58">
        <v>43586</v>
      </c>
      <c r="J37" s="60">
        <v>1000000</v>
      </c>
      <c r="K37" s="61">
        <v>7.7499999999999999E-2</v>
      </c>
      <c r="L37" s="62">
        <v>0.9</v>
      </c>
      <c r="M37" s="63">
        <v>7</v>
      </c>
      <c r="N37" s="62">
        <v>12</v>
      </c>
      <c r="O37" s="63">
        <f t="shared" si="3"/>
        <v>40687.5</v>
      </c>
      <c r="P37" s="63">
        <f t="shared" si="4"/>
        <v>606656.06589831901</v>
      </c>
      <c r="Q37" s="63">
        <f t="shared" si="5"/>
        <v>24683.318681237855</v>
      </c>
      <c r="R37" s="63">
        <f t="shared" si="6"/>
        <v>16004.181318762145</v>
      </c>
      <c r="S37" s="64">
        <v>0.606656065898319</v>
      </c>
      <c r="T37" s="63"/>
      <c r="U37" s="62"/>
      <c r="V37" s="63">
        <f t="shared" si="1"/>
        <v>606656.06589831901</v>
      </c>
      <c r="W37" s="63">
        <f t="shared" si="1"/>
        <v>24683.318681237855</v>
      </c>
      <c r="X37" s="65">
        <f t="shared" si="7"/>
        <v>606656.06589831901</v>
      </c>
      <c r="Y37" s="65">
        <f t="shared" si="7"/>
        <v>24683.318681237855</v>
      </c>
      <c r="Z37" s="65"/>
      <c r="AA37" s="65"/>
      <c r="AB37" s="65">
        <f t="shared" si="14"/>
        <v>24683.318681237855</v>
      </c>
      <c r="AC37" s="66">
        <v>424659.24612882326</v>
      </c>
      <c r="AD37" s="66">
        <f t="shared" si="12"/>
        <v>471843.60680980363</v>
      </c>
      <c r="AE37" s="66"/>
      <c r="AF37" s="67"/>
      <c r="AG37" s="67"/>
      <c r="AH37" s="68"/>
      <c r="AI37" s="68"/>
      <c r="AJ37" s="69"/>
      <c r="AK37" s="67">
        <f t="shared" si="8"/>
        <v>24683.318681237855</v>
      </c>
      <c r="AL37" s="67"/>
      <c r="AM37" s="67"/>
      <c r="AN37" s="67"/>
      <c r="AO37" s="67">
        <f t="shared" si="9"/>
        <v>24683.318681237855</v>
      </c>
      <c r="AP37" s="70">
        <f t="shared" si="2"/>
        <v>530824.05766102916</v>
      </c>
      <c r="AQ37" s="70"/>
      <c r="AR37" s="70"/>
      <c r="AS37" s="71"/>
      <c r="AT37" s="72"/>
      <c r="AU37" s="72"/>
      <c r="AV37" s="73"/>
      <c r="AW37" s="74">
        <f t="shared" si="10"/>
        <v>530824.05766102916</v>
      </c>
      <c r="AX37" s="74">
        <f t="shared" si="11"/>
        <v>707765.41021470551</v>
      </c>
      <c r="AY37" s="75"/>
      <c r="AZ37" s="75"/>
      <c r="BA37" s="75"/>
    </row>
    <row r="38" spans="1:53" s="222" customFormat="1" ht="25.5">
      <c r="A38" s="77">
        <f t="shared" si="13"/>
        <v>30</v>
      </c>
      <c r="B38" s="78" t="s">
        <v>115</v>
      </c>
      <c r="C38" s="79" t="s">
        <v>116</v>
      </c>
      <c r="D38" s="78" t="s">
        <v>105</v>
      </c>
      <c r="E38" s="80" t="s">
        <v>58</v>
      </c>
      <c r="F38" s="78"/>
      <c r="G38" s="78"/>
      <c r="H38" s="81">
        <v>43497</v>
      </c>
      <c r="I38" s="81">
        <v>43497</v>
      </c>
      <c r="J38" s="82">
        <v>5000000</v>
      </c>
      <c r="K38" s="117">
        <v>7.7499999999999999E-2</v>
      </c>
      <c r="L38" s="85">
        <v>0.9</v>
      </c>
      <c r="M38" s="83">
        <v>10</v>
      </c>
      <c r="N38" s="85">
        <v>12</v>
      </c>
      <c r="O38" s="83">
        <f t="shared" si="3"/>
        <v>290625</v>
      </c>
      <c r="P38" s="83">
        <f t="shared" si="4"/>
        <v>3033280.3294915948</v>
      </c>
      <c r="Q38" s="83">
        <f t="shared" si="5"/>
        <v>176309.41915169894</v>
      </c>
      <c r="R38" s="83">
        <f t="shared" si="6"/>
        <v>114315.58084830106</v>
      </c>
      <c r="S38" s="84">
        <v>0.606656065898319</v>
      </c>
      <c r="T38" s="118">
        <v>32000000</v>
      </c>
      <c r="U38" s="94">
        <f>1860000-U39-U40-U41-U42</f>
        <v>802143.49</v>
      </c>
      <c r="V38" s="83">
        <f t="shared" si="1"/>
        <v>-28966719.670508407</v>
      </c>
      <c r="W38" s="83">
        <f t="shared" si="1"/>
        <v>-625834.07084830105</v>
      </c>
      <c r="X38" s="86">
        <f t="shared" si="7"/>
        <v>-28966719.670508407</v>
      </c>
      <c r="Y38" s="86">
        <f t="shared" si="7"/>
        <v>-625834.07084830105</v>
      </c>
      <c r="Z38" s="86"/>
      <c r="AA38" s="86"/>
      <c r="AB38" s="86">
        <f t="shared" si="14"/>
        <v>-625834.07084830105</v>
      </c>
      <c r="AC38" s="87">
        <v>-10767037.693558834</v>
      </c>
      <c r="AD38" s="87">
        <f t="shared" si="12"/>
        <v>-11963375.308928097</v>
      </c>
      <c r="AE38" s="87"/>
      <c r="AF38" s="88"/>
      <c r="AG38" s="88"/>
      <c r="AH38" s="88"/>
      <c r="AI38" s="88"/>
      <c r="AJ38" s="88"/>
      <c r="AK38" s="130">
        <f t="shared" si="8"/>
        <v>-625834.07084830105</v>
      </c>
      <c r="AL38" s="130"/>
      <c r="AM38" s="130"/>
      <c r="AN38" s="130"/>
      <c r="AO38" s="130">
        <f t="shared" si="9"/>
        <v>-625834.07084830105</v>
      </c>
      <c r="AP38" s="89">
        <f t="shared" si="2"/>
        <v>-13458797.222544109</v>
      </c>
      <c r="AQ38" s="182"/>
      <c r="AR38" s="182"/>
      <c r="AS38" s="183"/>
      <c r="AT38" s="183"/>
      <c r="AU38" s="183"/>
      <c r="AV38" s="183"/>
      <c r="AW38" s="186">
        <f t="shared" si="10"/>
        <v>-13458797.222544109</v>
      </c>
      <c r="AX38" s="223">
        <f t="shared" si="11"/>
        <v>-17945062.963392146</v>
      </c>
      <c r="AY38" s="221"/>
      <c r="AZ38" s="221"/>
      <c r="BA38" s="221"/>
    </row>
    <row r="39" spans="1:53" s="222" customFormat="1" ht="25.5">
      <c r="A39" s="77">
        <f t="shared" si="13"/>
        <v>31</v>
      </c>
      <c r="B39" s="78" t="s">
        <v>115</v>
      </c>
      <c r="C39" s="79" t="s">
        <v>116</v>
      </c>
      <c r="D39" s="78" t="s">
        <v>57</v>
      </c>
      <c r="E39" s="80" t="s">
        <v>58</v>
      </c>
      <c r="F39" s="78"/>
      <c r="G39" s="78"/>
      <c r="H39" s="81">
        <v>43497</v>
      </c>
      <c r="I39" s="81">
        <v>43497</v>
      </c>
      <c r="J39" s="82">
        <v>15000000</v>
      </c>
      <c r="K39" s="117">
        <v>7.7499999999999999E-2</v>
      </c>
      <c r="L39" s="85">
        <v>0.9</v>
      </c>
      <c r="M39" s="83">
        <v>10</v>
      </c>
      <c r="N39" s="85">
        <v>12</v>
      </c>
      <c r="O39" s="83">
        <f t="shared" si="3"/>
        <v>871875</v>
      </c>
      <c r="P39" s="83">
        <f t="shared" si="4"/>
        <v>9099840.9884747844</v>
      </c>
      <c r="Q39" s="83">
        <f t="shared" si="5"/>
        <v>528928.25745509693</v>
      </c>
      <c r="R39" s="83">
        <f t="shared" si="6"/>
        <v>342946.74254490307</v>
      </c>
      <c r="S39" s="84">
        <v>0.606656065898319</v>
      </c>
      <c r="T39" s="83"/>
      <c r="U39" s="85">
        <v>528928.26</v>
      </c>
      <c r="V39" s="83">
        <f t="shared" si="1"/>
        <v>9099840.9884747844</v>
      </c>
      <c r="W39" s="83">
        <f t="shared" si="1"/>
        <v>-2.5449030799791217E-3</v>
      </c>
      <c r="X39" s="86">
        <f t="shared" si="7"/>
        <v>9099840.9884747844</v>
      </c>
      <c r="Y39" s="86">
        <f t="shared" si="7"/>
        <v>-2.5449030799791217E-3</v>
      </c>
      <c r="Z39" s="93"/>
      <c r="AA39" s="93"/>
      <c r="AB39" s="86">
        <f t="shared" si="14"/>
        <v>-2.5449030799791217E-3</v>
      </c>
      <c r="AC39" s="87">
        <v>0</v>
      </c>
      <c r="AD39" s="87">
        <f t="shared" si="12"/>
        <v>-4.8648087550377472E-2</v>
      </c>
      <c r="AE39" s="87"/>
      <c r="AF39" s="88"/>
      <c r="AG39" s="88"/>
      <c r="AH39" s="88"/>
      <c r="AI39" s="88"/>
      <c r="AJ39" s="88"/>
      <c r="AK39" s="130">
        <f t="shared" si="8"/>
        <v>-2.5449030799791217E-3</v>
      </c>
      <c r="AL39" s="130"/>
      <c r="AM39" s="130"/>
      <c r="AN39" s="130"/>
      <c r="AO39" s="130">
        <f t="shared" si="9"/>
        <v>-2.5449030799791217E-3</v>
      </c>
      <c r="AP39" s="89">
        <f t="shared" si="2"/>
        <v>-5.4729098494174656E-2</v>
      </c>
      <c r="AQ39" s="182"/>
      <c r="AR39" s="182"/>
      <c r="AS39" s="183"/>
      <c r="AT39" s="183"/>
      <c r="AU39" s="183"/>
      <c r="AV39" s="183"/>
      <c r="AW39" s="186">
        <f t="shared" si="10"/>
        <v>-5.4729098494174656E-2</v>
      </c>
      <c r="AX39" s="223">
        <f t="shared" si="11"/>
        <v>-7.2972131325566209E-2</v>
      </c>
      <c r="AY39" s="221"/>
      <c r="AZ39" s="221"/>
      <c r="BA39" s="221"/>
    </row>
    <row r="40" spans="1:53" s="222" customFormat="1" ht="25.5">
      <c r="A40" s="77">
        <f t="shared" si="13"/>
        <v>32</v>
      </c>
      <c r="B40" s="78" t="s">
        <v>115</v>
      </c>
      <c r="C40" s="79" t="s">
        <v>116</v>
      </c>
      <c r="D40" s="78" t="s">
        <v>57</v>
      </c>
      <c r="E40" s="80" t="s">
        <v>58</v>
      </c>
      <c r="F40" s="78"/>
      <c r="G40" s="78"/>
      <c r="H40" s="81">
        <v>43525</v>
      </c>
      <c r="I40" s="81">
        <v>43525</v>
      </c>
      <c r="J40" s="82">
        <v>10000000</v>
      </c>
      <c r="K40" s="117">
        <v>7.7499999999999999E-2</v>
      </c>
      <c r="L40" s="85">
        <v>0.9</v>
      </c>
      <c r="M40" s="83">
        <v>9</v>
      </c>
      <c r="N40" s="85">
        <v>12</v>
      </c>
      <c r="O40" s="83">
        <f t="shared" si="3"/>
        <v>523125</v>
      </c>
      <c r="P40" s="83">
        <f t="shared" si="4"/>
        <v>6066560.6589831896</v>
      </c>
      <c r="Q40" s="83">
        <f t="shared" si="5"/>
        <v>317356.95447305811</v>
      </c>
      <c r="R40" s="83">
        <f t="shared" si="6"/>
        <v>205768.04552694189</v>
      </c>
      <c r="S40" s="84">
        <v>0.606656065898319</v>
      </c>
      <c r="T40" s="83"/>
      <c r="U40" s="85">
        <v>317356.95</v>
      </c>
      <c r="V40" s="83">
        <f t="shared" si="1"/>
        <v>6066560.6589831896</v>
      </c>
      <c r="W40" s="83">
        <f t="shared" si="1"/>
        <v>4.4730580993928015E-3</v>
      </c>
      <c r="X40" s="86">
        <f t="shared" si="7"/>
        <v>6066560.6589831896</v>
      </c>
      <c r="Y40" s="86">
        <f t="shared" si="7"/>
        <v>4.4730580993928015E-3</v>
      </c>
      <c r="Z40" s="93"/>
      <c r="AA40" s="93"/>
      <c r="AB40" s="86">
        <f t="shared" si="14"/>
        <v>4.4730580993928015E-3</v>
      </c>
      <c r="AC40" s="87">
        <v>0</v>
      </c>
      <c r="AD40" s="87">
        <f t="shared" si="12"/>
        <v>8.5506486965692741E-2</v>
      </c>
      <c r="AE40" s="87"/>
      <c r="AF40" s="88"/>
      <c r="AG40" s="88"/>
      <c r="AH40" s="88"/>
      <c r="AI40" s="88"/>
      <c r="AJ40" s="88"/>
      <c r="AK40" s="130">
        <f t="shared" si="8"/>
        <v>4.4730580993928015E-3</v>
      </c>
      <c r="AL40" s="130"/>
      <c r="AM40" s="130"/>
      <c r="AN40" s="130"/>
      <c r="AO40" s="130">
        <f t="shared" si="9"/>
        <v>4.4730580993928015E-3</v>
      </c>
      <c r="AP40" s="119">
        <f t="shared" si="2"/>
        <v>9.6194797836404333E-2</v>
      </c>
      <c r="AQ40" s="182"/>
      <c r="AR40" s="182"/>
      <c r="AS40" s="183"/>
      <c r="AT40" s="183"/>
      <c r="AU40" s="183"/>
      <c r="AV40" s="183"/>
      <c r="AW40" s="186">
        <f t="shared" si="10"/>
        <v>9.6194797836404333E-2</v>
      </c>
      <c r="AX40" s="186">
        <f t="shared" si="11"/>
        <v>0.12825973044853911</v>
      </c>
      <c r="AY40" s="221"/>
      <c r="AZ40" s="221"/>
      <c r="BA40" s="221"/>
    </row>
    <row r="41" spans="1:53" s="222" customFormat="1" ht="25.5">
      <c r="A41" s="77">
        <f t="shared" si="13"/>
        <v>33</v>
      </c>
      <c r="B41" s="78" t="s">
        <v>115</v>
      </c>
      <c r="C41" s="79" t="s">
        <v>116</v>
      </c>
      <c r="D41" s="78" t="s">
        <v>57</v>
      </c>
      <c r="E41" s="80" t="s">
        <v>58</v>
      </c>
      <c r="F41" s="78"/>
      <c r="G41" s="78"/>
      <c r="H41" s="81">
        <v>43617</v>
      </c>
      <c r="I41" s="81">
        <v>43617</v>
      </c>
      <c r="J41" s="82">
        <v>5000000</v>
      </c>
      <c r="K41" s="117">
        <v>7.7499999999999999E-2</v>
      </c>
      <c r="L41" s="85">
        <v>0.9</v>
      </c>
      <c r="M41" s="83">
        <v>6</v>
      </c>
      <c r="N41" s="85">
        <v>12</v>
      </c>
      <c r="O41" s="83">
        <f t="shared" si="3"/>
        <v>174375</v>
      </c>
      <c r="P41" s="83">
        <f t="shared" si="4"/>
        <v>3033280.3294915948</v>
      </c>
      <c r="Q41" s="83">
        <f t="shared" si="5"/>
        <v>105785.65149101937</v>
      </c>
      <c r="R41" s="83">
        <f t="shared" si="6"/>
        <v>68589.348508980635</v>
      </c>
      <c r="S41" s="84">
        <v>0.606656065898319</v>
      </c>
      <c r="T41" s="83"/>
      <c r="U41" s="85">
        <v>105785.65</v>
      </c>
      <c r="V41" s="83">
        <f t="shared" si="1"/>
        <v>3033280.3294915948</v>
      </c>
      <c r="W41" s="83">
        <f t="shared" si="1"/>
        <v>1.4910193713149056E-3</v>
      </c>
      <c r="X41" s="86">
        <f t="shared" si="7"/>
        <v>3033280.3294915948</v>
      </c>
      <c r="Y41" s="86">
        <f t="shared" si="7"/>
        <v>1.4910193713149056E-3</v>
      </c>
      <c r="Z41" s="93"/>
      <c r="AA41" s="93"/>
      <c r="AB41" s="86">
        <f t="shared" si="14"/>
        <v>1.4910193713149056E-3</v>
      </c>
      <c r="AC41" s="87">
        <v>0</v>
      </c>
      <c r="AD41" s="87">
        <f t="shared" si="12"/>
        <v>2.8502162414621855E-2</v>
      </c>
      <c r="AE41" s="87"/>
      <c r="AF41" s="88"/>
      <c r="AG41" s="88"/>
      <c r="AH41" s="88"/>
      <c r="AI41" s="88"/>
      <c r="AJ41" s="88"/>
      <c r="AK41" s="130">
        <f t="shared" si="8"/>
        <v>1.4910193713149056E-3</v>
      </c>
      <c r="AL41" s="130"/>
      <c r="AM41" s="130"/>
      <c r="AN41" s="130"/>
      <c r="AO41" s="130">
        <f t="shared" si="9"/>
        <v>1.4910193713149056E-3</v>
      </c>
      <c r="AP41" s="119">
        <f t="shared" si="2"/>
        <v>3.2064932716449585E-2</v>
      </c>
      <c r="AQ41" s="182"/>
      <c r="AR41" s="182"/>
      <c r="AS41" s="183"/>
      <c r="AT41" s="183"/>
      <c r="AU41" s="183"/>
      <c r="AV41" s="183"/>
      <c r="AW41" s="186">
        <f t="shared" si="10"/>
        <v>3.2064932716449585E-2</v>
      </c>
      <c r="AX41" s="186">
        <f t="shared" si="11"/>
        <v>4.2753243621932779E-2</v>
      </c>
      <c r="AY41" s="221"/>
      <c r="AZ41" s="221"/>
      <c r="BA41" s="221"/>
    </row>
    <row r="42" spans="1:53" s="222" customFormat="1" ht="25.5">
      <c r="A42" s="77">
        <f t="shared" si="13"/>
        <v>34</v>
      </c>
      <c r="B42" s="78" t="s">
        <v>115</v>
      </c>
      <c r="C42" s="79" t="s">
        <v>116</v>
      </c>
      <c r="D42" s="78" t="s">
        <v>105</v>
      </c>
      <c r="E42" s="80" t="s">
        <v>58</v>
      </c>
      <c r="F42" s="78"/>
      <c r="G42" s="78"/>
      <c r="H42" s="81">
        <v>43617</v>
      </c>
      <c r="I42" s="81">
        <v>43617</v>
      </c>
      <c r="J42" s="82">
        <v>5000000</v>
      </c>
      <c r="K42" s="117">
        <v>7.7499999999999999E-2</v>
      </c>
      <c r="L42" s="85">
        <v>0.9</v>
      </c>
      <c r="M42" s="83">
        <v>6</v>
      </c>
      <c r="N42" s="85">
        <v>12</v>
      </c>
      <c r="O42" s="83">
        <f t="shared" si="3"/>
        <v>174375</v>
      </c>
      <c r="P42" s="83">
        <f t="shared" si="4"/>
        <v>3033280.3294915948</v>
      </c>
      <c r="Q42" s="83">
        <f t="shared" si="5"/>
        <v>105785.65149101937</v>
      </c>
      <c r="R42" s="83">
        <f t="shared" si="6"/>
        <v>68589.348508980635</v>
      </c>
      <c r="S42" s="84">
        <v>0.606656065898319</v>
      </c>
      <c r="T42" s="83"/>
      <c r="U42" s="85">
        <v>105785.65</v>
      </c>
      <c r="V42" s="83">
        <f t="shared" si="1"/>
        <v>3033280.3294915948</v>
      </c>
      <c r="W42" s="83">
        <f t="shared" si="1"/>
        <v>1.4910193713149056E-3</v>
      </c>
      <c r="X42" s="86">
        <f t="shared" si="7"/>
        <v>3033280.3294915948</v>
      </c>
      <c r="Y42" s="86">
        <f t="shared" si="7"/>
        <v>1.4910193713149056E-3</v>
      </c>
      <c r="Z42" s="93"/>
      <c r="AA42" s="93"/>
      <c r="AB42" s="86">
        <f t="shared" si="14"/>
        <v>1.4910193713149056E-3</v>
      </c>
      <c r="AC42" s="87">
        <v>0</v>
      </c>
      <c r="AD42" s="87">
        <f t="shared" si="12"/>
        <v>2.8502162414621855E-2</v>
      </c>
      <c r="AE42" s="87"/>
      <c r="AF42" s="88"/>
      <c r="AG42" s="88"/>
      <c r="AH42" s="88"/>
      <c r="AI42" s="88"/>
      <c r="AJ42" s="88"/>
      <c r="AK42" s="130">
        <f t="shared" si="8"/>
        <v>1.4910193713149056E-3</v>
      </c>
      <c r="AL42" s="130"/>
      <c r="AM42" s="130"/>
      <c r="AN42" s="130"/>
      <c r="AO42" s="130">
        <f t="shared" si="9"/>
        <v>1.4910193713149056E-3</v>
      </c>
      <c r="AP42" s="119">
        <f t="shared" si="2"/>
        <v>3.2064932716449585E-2</v>
      </c>
      <c r="AQ42" s="182"/>
      <c r="AR42" s="182"/>
      <c r="AS42" s="183"/>
      <c r="AT42" s="183"/>
      <c r="AU42" s="183"/>
      <c r="AV42" s="183"/>
      <c r="AW42" s="186">
        <f t="shared" si="10"/>
        <v>3.2064932716449585E-2</v>
      </c>
      <c r="AX42" s="186">
        <f t="shared" si="11"/>
        <v>4.2753243621932779E-2</v>
      </c>
      <c r="AY42" s="221"/>
      <c r="AZ42" s="221"/>
      <c r="BA42" s="221"/>
    </row>
    <row r="43" spans="1:53" s="222" customFormat="1" ht="25.5">
      <c r="A43" s="77">
        <f t="shared" si="13"/>
        <v>35</v>
      </c>
      <c r="B43" s="78" t="s">
        <v>117</v>
      </c>
      <c r="C43" s="79" t="s">
        <v>118</v>
      </c>
      <c r="D43" s="78" t="s">
        <v>57</v>
      </c>
      <c r="E43" s="80" t="s">
        <v>58</v>
      </c>
      <c r="F43" s="78"/>
      <c r="G43" s="78"/>
      <c r="H43" s="81">
        <v>43525</v>
      </c>
      <c r="I43" s="81">
        <v>43525</v>
      </c>
      <c r="J43" s="82">
        <v>15000000</v>
      </c>
      <c r="K43" s="117">
        <v>7.7499999999999999E-2</v>
      </c>
      <c r="L43" s="85">
        <v>0.9</v>
      </c>
      <c r="M43" s="83">
        <v>9</v>
      </c>
      <c r="N43" s="85">
        <v>12</v>
      </c>
      <c r="O43" s="83">
        <f t="shared" si="3"/>
        <v>784687.5</v>
      </c>
      <c r="P43" s="83">
        <f t="shared" si="4"/>
        <v>9099840.9884747844</v>
      </c>
      <c r="Q43" s="83">
        <f t="shared" si="5"/>
        <v>476035.43170958717</v>
      </c>
      <c r="R43" s="83">
        <f t="shared" si="6"/>
        <v>308652.06829041283</v>
      </c>
      <c r="S43" s="84">
        <v>0.606656065898319</v>
      </c>
      <c r="T43" s="118">
        <v>10000000</v>
      </c>
      <c r="U43" s="94">
        <v>581250</v>
      </c>
      <c r="V43" s="83">
        <f t="shared" si="1"/>
        <v>-900159.01152521558</v>
      </c>
      <c r="W43" s="83">
        <f t="shared" si="1"/>
        <v>-105214.56829041283</v>
      </c>
      <c r="X43" s="86">
        <f t="shared" si="7"/>
        <v>-900159.01152521558</v>
      </c>
      <c r="Y43" s="86">
        <f t="shared" si="7"/>
        <v>-105214.56829041283</v>
      </c>
      <c r="Z43" s="86"/>
      <c r="AA43" s="86"/>
      <c r="AB43" s="86">
        <f t="shared" si="14"/>
        <v>-105214.56829041283</v>
      </c>
      <c r="AC43" s="87">
        <v>-1810143.1103726937</v>
      </c>
      <c r="AD43" s="87">
        <f t="shared" si="12"/>
        <v>-2011270.1226363266</v>
      </c>
      <c r="AE43" s="87"/>
      <c r="AF43" s="88"/>
      <c r="AG43" s="88"/>
      <c r="AH43" s="88"/>
      <c r="AI43" s="88"/>
      <c r="AJ43" s="88"/>
      <c r="AK43" s="130">
        <f t="shared" si="8"/>
        <v>-105214.56829041283</v>
      </c>
      <c r="AL43" s="130"/>
      <c r="AM43" s="130"/>
      <c r="AN43" s="130"/>
      <c r="AO43" s="130">
        <f t="shared" si="9"/>
        <v>-105214.56829041283</v>
      </c>
      <c r="AP43" s="89">
        <f t="shared" si="2"/>
        <v>-2262678.8879658673</v>
      </c>
      <c r="AQ43" s="182"/>
      <c r="AR43" s="182"/>
      <c r="AS43" s="183"/>
      <c r="AT43" s="183"/>
      <c r="AU43" s="183"/>
      <c r="AV43" s="183"/>
      <c r="AW43" s="186">
        <f t="shared" si="10"/>
        <v>-2262678.8879658673</v>
      </c>
      <c r="AX43" s="223">
        <f t="shared" si="11"/>
        <v>-3016905.1839544899</v>
      </c>
      <c r="AY43" s="221"/>
      <c r="AZ43" s="221"/>
      <c r="BA43" s="221"/>
    </row>
    <row r="44" spans="1:53" s="230" customFormat="1" ht="25.5">
      <c r="A44" s="120">
        <f t="shared" si="13"/>
        <v>36</v>
      </c>
      <c r="B44" s="80" t="s">
        <v>119</v>
      </c>
      <c r="C44" s="121" t="s">
        <v>120</v>
      </c>
      <c r="D44" s="80" t="s">
        <v>57</v>
      </c>
      <c r="E44" s="80" t="s">
        <v>85</v>
      </c>
      <c r="F44" s="80"/>
      <c r="G44" s="80"/>
      <c r="H44" s="122">
        <v>43497</v>
      </c>
      <c r="I44" s="81" t="s">
        <v>112</v>
      </c>
      <c r="J44" s="123">
        <v>15000000</v>
      </c>
      <c r="K44" s="124">
        <v>7.7499999999999999E-2</v>
      </c>
      <c r="L44" s="125">
        <v>0.9</v>
      </c>
      <c r="M44" s="126">
        <v>10</v>
      </c>
      <c r="N44" s="125">
        <v>12</v>
      </c>
      <c r="O44" s="126">
        <f t="shared" si="3"/>
        <v>871875</v>
      </c>
      <c r="P44" s="126">
        <f t="shared" si="4"/>
        <v>9099840.9884747844</v>
      </c>
      <c r="Q44" s="126">
        <f t="shared" si="5"/>
        <v>528928.25745509693</v>
      </c>
      <c r="R44" s="126">
        <f t="shared" si="6"/>
        <v>342946.74254490307</v>
      </c>
      <c r="S44" s="127">
        <v>0.606656065898319</v>
      </c>
      <c r="T44" s="126"/>
      <c r="U44" s="125"/>
      <c r="V44" s="126">
        <f t="shared" si="1"/>
        <v>9099840.9884747844</v>
      </c>
      <c r="W44" s="126">
        <f t="shared" si="1"/>
        <v>528928.25745509693</v>
      </c>
      <c r="X44" s="128">
        <f t="shared" si="7"/>
        <v>9099840.9884747844</v>
      </c>
      <c r="Y44" s="128">
        <f t="shared" si="7"/>
        <v>528928.25745509693</v>
      </c>
      <c r="Z44" s="128"/>
      <c r="AA44" s="128"/>
      <c r="AB44" s="128">
        <f t="shared" si="14"/>
        <v>528928.25745509693</v>
      </c>
      <c r="AC44" s="129">
        <v>9099840.9884747863</v>
      </c>
      <c r="AD44" s="129">
        <f t="shared" si="12"/>
        <v>10110934.431638651</v>
      </c>
      <c r="AE44" s="129"/>
      <c r="AF44" s="130">
        <v>-528928.26</v>
      </c>
      <c r="AG44" s="130"/>
      <c r="AH44" s="130"/>
      <c r="AI44" s="130"/>
      <c r="AJ44" s="130"/>
      <c r="AK44" s="130">
        <f t="shared" si="8"/>
        <v>-2.5449030799791217E-3</v>
      </c>
      <c r="AL44" s="130"/>
      <c r="AM44" s="130"/>
      <c r="AN44" s="130"/>
      <c r="AO44" s="130">
        <f t="shared" si="9"/>
        <v>-2.5449030799791217E-3</v>
      </c>
      <c r="AP44" s="119">
        <f t="shared" si="2"/>
        <v>11374801.235593483</v>
      </c>
      <c r="AQ44" s="119"/>
      <c r="AR44" s="89">
        <v>-11374801.24</v>
      </c>
      <c r="AS44" s="185"/>
      <c r="AT44" s="185"/>
      <c r="AU44" s="185"/>
      <c r="AV44" s="185"/>
      <c r="AW44" s="186">
        <f t="shared" si="10"/>
        <v>-4.4065173715353012E-3</v>
      </c>
      <c r="AX44" s="223">
        <f t="shared" si="11"/>
        <v>-7.2972131325566209E-2</v>
      </c>
      <c r="AY44" s="229"/>
      <c r="AZ44" s="229"/>
      <c r="BA44" s="229"/>
    </row>
    <row r="45" spans="1:53" s="222" customFormat="1" ht="25.5">
      <c r="A45" s="77">
        <f t="shared" si="13"/>
        <v>37</v>
      </c>
      <c r="B45" s="78" t="s">
        <v>121</v>
      </c>
      <c r="C45" s="79" t="s">
        <v>122</v>
      </c>
      <c r="D45" s="78" t="s">
        <v>57</v>
      </c>
      <c r="E45" s="80" t="s">
        <v>85</v>
      </c>
      <c r="F45" s="78"/>
      <c r="G45" s="78"/>
      <c r="H45" s="81">
        <v>43497</v>
      </c>
      <c r="I45" s="81">
        <v>43497</v>
      </c>
      <c r="J45" s="82">
        <v>18000000</v>
      </c>
      <c r="K45" s="117">
        <v>7.7499999999999999E-2</v>
      </c>
      <c r="L45" s="85">
        <v>0.9</v>
      </c>
      <c r="M45" s="83">
        <v>10</v>
      </c>
      <c r="N45" s="85">
        <v>12</v>
      </c>
      <c r="O45" s="83">
        <f t="shared" si="3"/>
        <v>1046250</v>
      </c>
      <c r="P45" s="83">
        <f t="shared" si="4"/>
        <v>10919809.186169742</v>
      </c>
      <c r="Q45" s="83">
        <f t="shared" si="5"/>
        <v>634713.90894611611</v>
      </c>
      <c r="R45" s="83">
        <f t="shared" si="6"/>
        <v>411536.09105388389</v>
      </c>
      <c r="S45" s="84">
        <v>0.606656065898319</v>
      </c>
      <c r="T45" s="83"/>
      <c r="U45" s="85"/>
      <c r="V45" s="83">
        <f t="shared" si="1"/>
        <v>10919809.186169742</v>
      </c>
      <c r="W45" s="83">
        <f t="shared" si="1"/>
        <v>634713.90894611611</v>
      </c>
      <c r="X45" s="86">
        <f t="shared" si="7"/>
        <v>10919809.186169742</v>
      </c>
      <c r="Y45" s="86">
        <f t="shared" si="7"/>
        <v>634713.90894611611</v>
      </c>
      <c r="Z45" s="87">
        <f>719296.87-Z46</f>
        <v>634713.91</v>
      </c>
      <c r="AA45" s="87"/>
      <c r="AB45" s="86">
        <f t="shared" si="14"/>
        <v>-1.0538839269429445E-3</v>
      </c>
      <c r="AC45" s="87">
        <v>783.74432570487261</v>
      </c>
      <c r="AD45" s="87">
        <f t="shared" si="12"/>
        <v>-2.0145929308347802E-2</v>
      </c>
      <c r="AE45" s="87"/>
      <c r="AF45" s="88"/>
      <c r="AG45" s="88"/>
      <c r="AH45" s="88"/>
      <c r="AI45" s="88"/>
      <c r="AJ45" s="88"/>
      <c r="AK45" s="130">
        <f t="shared" si="8"/>
        <v>-1.0538839269429445E-3</v>
      </c>
      <c r="AL45" s="130"/>
      <c r="AM45" s="130"/>
      <c r="AN45" s="130"/>
      <c r="AO45" s="130">
        <f t="shared" si="9"/>
        <v>-1.0538839269429445E-3</v>
      </c>
      <c r="AP45" s="89">
        <f t="shared" si="2"/>
        <v>-2.266417047189128E-2</v>
      </c>
      <c r="AQ45" s="182"/>
      <c r="AR45" s="182"/>
      <c r="AS45" s="183"/>
      <c r="AT45" s="183"/>
      <c r="AU45" s="183"/>
      <c r="AV45" s="183"/>
      <c r="AW45" s="186">
        <f t="shared" si="10"/>
        <v>-2.266417047189128E-2</v>
      </c>
      <c r="AX45" s="223">
        <f t="shared" si="11"/>
        <v>-3.0218893962521705E-2</v>
      </c>
      <c r="AY45" s="221"/>
      <c r="AZ45" s="221"/>
      <c r="BA45" s="221"/>
    </row>
    <row r="46" spans="1:53" s="222" customFormat="1" ht="25.5">
      <c r="A46" s="77">
        <f t="shared" si="13"/>
        <v>38</v>
      </c>
      <c r="B46" s="78" t="s">
        <v>121</v>
      </c>
      <c r="C46" s="79" t="s">
        <v>122</v>
      </c>
      <c r="D46" s="78" t="s">
        <v>105</v>
      </c>
      <c r="E46" s="80"/>
      <c r="F46" s="78"/>
      <c r="G46" s="78"/>
      <c r="H46" s="81">
        <v>43739</v>
      </c>
      <c r="I46" s="81">
        <v>43739</v>
      </c>
      <c r="J46" s="82">
        <v>12000000</v>
      </c>
      <c r="K46" s="117">
        <v>7.7499999999999999E-2</v>
      </c>
      <c r="L46" s="85">
        <v>0.9</v>
      </c>
      <c r="M46" s="83">
        <v>2</v>
      </c>
      <c r="N46" s="85">
        <v>12</v>
      </c>
      <c r="O46" s="83">
        <f t="shared" si="3"/>
        <v>139500</v>
      </c>
      <c r="P46" s="83">
        <f t="shared" si="4"/>
        <v>7279872.7907798281</v>
      </c>
      <c r="Q46" s="83">
        <f t="shared" si="5"/>
        <v>84628.521192815504</v>
      </c>
      <c r="R46" s="83">
        <f t="shared" si="6"/>
        <v>54871.478807184496</v>
      </c>
      <c r="S46" s="84">
        <v>0.606656065898319</v>
      </c>
      <c r="T46" s="83"/>
      <c r="U46" s="85"/>
      <c r="V46" s="83">
        <f t="shared" si="1"/>
        <v>7279872.7907798281</v>
      </c>
      <c r="W46" s="83">
        <f t="shared" si="1"/>
        <v>84628.521192815504</v>
      </c>
      <c r="X46" s="86">
        <f t="shared" si="7"/>
        <v>7279872.7907798281</v>
      </c>
      <c r="Y46" s="86">
        <f t="shared" si="7"/>
        <v>84628.521192815504</v>
      </c>
      <c r="Z46" s="87">
        <v>84582.96</v>
      </c>
      <c r="AA46" s="87"/>
      <c r="AB46" s="86">
        <f t="shared" si="14"/>
        <v>45.561192815497634</v>
      </c>
      <c r="AC46" s="87">
        <v>0</v>
      </c>
      <c r="AD46" s="87">
        <f t="shared" si="12"/>
        <v>870.94275394021759</v>
      </c>
      <c r="AE46" s="87"/>
      <c r="AF46" s="88"/>
      <c r="AG46" s="88"/>
      <c r="AH46" s="88"/>
      <c r="AI46" s="88"/>
      <c r="AJ46" s="88"/>
      <c r="AK46" s="130">
        <f t="shared" si="8"/>
        <v>45.561192815497634</v>
      </c>
      <c r="AL46" s="130"/>
      <c r="AM46" s="130"/>
      <c r="AN46" s="130"/>
      <c r="AO46" s="130">
        <f t="shared" si="9"/>
        <v>45.561192815497634</v>
      </c>
      <c r="AP46" s="119">
        <f t="shared" si="2"/>
        <v>979.8105981827448</v>
      </c>
      <c r="AQ46" s="182"/>
      <c r="AR46" s="182"/>
      <c r="AS46" s="183"/>
      <c r="AT46" s="183"/>
      <c r="AU46" s="183"/>
      <c r="AV46" s="183"/>
      <c r="AW46" s="186">
        <f t="shared" si="10"/>
        <v>979.8105981827448</v>
      </c>
      <c r="AX46" s="186">
        <f t="shared" si="11"/>
        <v>1306.4141309103263</v>
      </c>
      <c r="AY46" s="221"/>
      <c r="AZ46" s="221"/>
      <c r="BA46" s="221"/>
    </row>
    <row r="47" spans="1:53" s="76" customFormat="1" ht="38.25">
      <c r="A47" s="54">
        <f t="shared" si="13"/>
        <v>39</v>
      </c>
      <c r="B47" s="55" t="s">
        <v>123</v>
      </c>
      <c r="C47" s="56" t="s">
        <v>124</v>
      </c>
      <c r="D47" s="55" t="s">
        <v>97</v>
      </c>
      <c r="E47" s="55" t="s">
        <v>58</v>
      </c>
      <c r="F47" s="55"/>
      <c r="G47" s="55"/>
      <c r="H47" s="58">
        <v>43497</v>
      </c>
      <c r="I47" s="59" t="s">
        <v>81</v>
      </c>
      <c r="J47" s="60">
        <v>200000</v>
      </c>
      <c r="K47" s="61">
        <v>7.7499999999999999E-2</v>
      </c>
      <c r="L47" s="62">
        <v>0.9</v>
      </c>
      <c r="M47" s="63">
        <v>10</v>
      </c>
      <c r="N47" s="62">
        <v>12</v>
      </c>
      <c r="O47" s="63">
        <f t="shared" si="3"/>
        <v>11625</v>
      </c>
      <c r="P47" s="63">
        <f t="shared" si="4"/>
        <v>121331.2131796638</v>
      </c>
      <c r="Q47" s="63">
        <f t="shared" si="5"/>
        <v>7052.3767660679587</v>
      </c>
      <c r="R47" s="63">
        <f t="shared" si="6"/>
        <v>4572.6232339320413</v>
      </c>
      <c r="S47" s="64">
        <v>0.606656065898319</v>
      </c>
      <c r="T47" s="63"/>
      <c r="U47" s="62"/>
      <c r="V47" s="63">
        <f t="shared" si="1"/>
        <v>121331.2131796638</v>
      </c>
      <c r="W47" s="63">
        <f t="shared" si="1"/>
        <v>7052.3767660679587</v>
      </c>
      <c r="X47" s="65">
        <f t="shared" si="7"/>
        <v>121331.2131796638</v>
      </c>
      <c r="Y47" s="65">
        <f t="shared" si="7"/>
        <v>7052.3767660679587</v>
      </c>
      <c r="Z47" s="66"/>
      <c r="AA47" s="66"/>
      <c r="AB47" s="65">
        <f t="shared" si="14"/>
        <v>7052.3767660679587</v>
      </c>
      <c r="AC47" s="66">
        <v>121331.21317966381</v>
      </c>
      <c r="AD47" s="66">
        <f t="shared" si="12"/>
        <v>134812.45908851534</v>
      </c>
      <c r="AE47" s="66"/>
      <c r="AF47" s="67"/>
      <c r="AG47" s="67"/>
      <c r="AH47" s="68"/>
      <c r="AI47" s="68"/>
      <c r="AJ47" s="69"/>
      <c r="AK47" s="67">
        <f t="shared" si="8"/>
        <v>7052.3767660679587</v>
      </c>
      <c r="AL47" s="67"/>
      <c r="AM47" s="67"/>
      <c r="AN47" s="67"/>
      <c r="AO47" s="67">
        <f t="shared" si="9"/>
        <v>7052.3767660679587</v>
      </c>
      <c r="AP47" s="70">
        <f t="shared" si="2"/>
        <v>151664.01647457975</v>
      </c>
      <c r="AQ47" s="70"/>
      <c r="AR47" s="70"/>
      <c r="AS47" s="71"/>
      <c r="AT47" s="72"/>
      <c r="AU47" s="72"/>
      <c r="AV47" s="73"/>
      <c r="AW47" s="74">
        <f t="shared" si="10"/>
        <v>151664.01647457975</v>
      </c>
      <c r="AX47" s="74">
        <f t="shared" si="11"/>
        <v>202218.688632773</v>
      </c>
      <c r="AY47" s="75"/>
      <c r="AZ47" s="75"/>
      <c r="BA47" s="75"/>
    </row>
    <row r="48" spans="1:53" s="222" customFormat="1" ht="38.25">
      <c r="A48" s="77"/>
      <c r="B48" s="78" t="s">
        <v>125</v>
      </c>
      <c r="C48" s="79" t="s">
        <v>126</v>
      </c>
      <c r="D48" s="78"/>
      <c r="E48" s="80" t="s">
        <v>58</v>
      </c>
      <c r="F48" s="78"/>
      <c r="G48" s="78"/>
      <c r="H48" s="81"/>
      <c r="I48" s="81" t="s">
        <v>127</v>
      </c>
      <c r="J48" s="82"/>
      <c r="K48" s="124">
        <v>7.7499999999999999E-2</v>
      </c>
      <c r="L48" s="125">
        <v>0.9</v>
      </c>
      <c r="M48" s="126">
        <v>0</v>
      </c>
      <c r="N48" s="125">
        <v>12</v>
      </c>
      <c r="O48" s="83"/>
      <c r="P48" s="83"/>
      <c r="Q48" s="83"/>
      <c r="R48" s="83"/>
      <c r="S48" s="84"/>
      <c r="T48" s="83"/>
      <c r="U48" s="85"/>
      <c r="V48" s="83"/>
      <c r="W48" s="83"/>
      <c r="X48" s="86">
        <f t="shared" si="7"/>
        <v>0</v>
      </c>
      <c r="Y48" s="86">
        <f t="shared" si="7"/>
        <v>0</v>
      </c>
      <c r="Z48" s="87"/>
      <c r="AA48" s="87">
        <v>6879.59</v>
      </c>
      <c r="AB48" s="131">
        <f t="shared" si="14"/>
        <v>-6879.59</v>
      </c>
      <c r="AC48" s="132">
        <v>-200000</v>
      </c>
      <c r="AD48" s="132">
        <f>AB48/7.75/0.9/9*12*100</f>
        <v>-131509.48626045402</v>
      </c>
      <c r="AE48" s="132"/>
      <c r="AF48" s="133"/>
      <c r="AG48" s="133"/>
      <c r="AH48" s="133"/>
      <c r="AI48" s="133"/>
      <c r="AJ48" s="133"/>
      <c r="AK48" s="130">
        <f t="shared" si="8"/>
        <v>-6879.59</v>
      </c>
      <c r="AL48" s="130"/>
      <c r="AM48" s="130"/>
      <c r="AN48" s="130"/>
      <c r="AO48" s="133">
        <f t="shared" si="9"/>
        <v>-6879.59</v>
      </c>
      <c r="AP48" s="133">
        <f>AB48/7.75/0.9/8*12*100</f>
        <v>-147948.17204301077</v>
      </c>
      <c r="AQ48" s="89"/>
      <c r="AR48" s="89"/>
      <c r="AS48" s="232"/>
      <c r="AT48" s="232"/>
      <c r="AU48" s="232"/>
      <c r="AV48" s="232"/>
      <c r="AW48" s="223">
        <f t="shared" si="10"/>
        <v>-147948.17204301077</v>
      </c>
      <c r="AX48" s="223">
        <f t="shared" si="11"/>
        <v>-197264.22939068099</v>
      </c>
      <c r="AY48" s="221"/>
      <c r="AZ48" s="221"/>
      <c r="BA48" s="221"/>
    </row>
    <row r="49" spans="1:53" s="76" customFormat="1" ht="25.5">
      <c r="A49" s="54">
        <f>A47+1</f>
        <v>40</v>
      </c>
      <c r="B49" s="55" t="s">
        <v>128</v>
      </c>
      <c r="C49" s="56" t="s">
        <v>129</v>
      </c>
      <c r="D49" s="55" t="s">
        <v>57</v>
      </c>
      <c r="E49" s="55" t="s">
        <v>58</v>
      </c>
      <c r="F49" s="55"/>
      <c r="G49" s="55"/>
      <c r="H49" s="58">
        <v>43525</v>
      </c>
      <c r="I49" s="59" t="s">
        <v>130</v>
      </c>
      <c r="J49" s="60">
        <v>2000000</v>
      </c>
      <c r="K49" s="61">
        <v>7.7499999999999999E-2</v>
      </c>
      <c r="L49" s="62">
        <v>0.9</v>
      </c>
      <c r="M49" s="63">
        <v>9</v>
      </c>
      <c r="N49" s="62">
        <v>12</v>
      </c>
      <c r="O49" s="63">
        <f t="shared" si="3"/>
        <v>104625</v>
      </c>
      <c r="P49" s="63">
        <f t="shared" si="4"/>
        <v>1213312.131796638</v>
      </c>
      <c r="Q49" s="63">
        <f t="shared" si="5"/>
        <v>63471.390894611628</v>
      </c>
      <c r="R49" s="63">
        <f t="shared" si="6"/>
        <v>41153.609105388372</v>
      </c>
      <c r="S49" s="64">
        <v>0.606656065898319</v>
      </c>
      <c r="T49" s="63"/>
      <c r="U49" s="62"/>
      <c r="V49" s="63">
        <f t="shared" si="1"/>
        <v>1213312.131796638</v>
      </c>
      <c r="W49" s="63">
        <f t="shared" si="1"/>
        <v>63471.390894611628</v>
      </c>
      <c r="X49" s="65">
        <f t="shared" si="7"/>
        <v>1213312.131796638</v>
      </c>
      <c r="Y49" s="65">
        <f t="shared" si="7"/>
        <v>63471.390894611628</v>
      </c>
      <c r="Z49" s="66"/>
      <c r="AA49" s="66"/>
      <c r="AB49" s="65">
        <f t="shared" si="14"/>
        <v>63471.390894611628</v>
      </c>
      <c r="AC49" s="66">
        <v>1091980.9186169743</v>
      </c>
      <c r="AD49" s="66">
        <f t="shared" ref="AD49:AD113" si="15">AB49/K49/L49/9*N49</f>
        <v>1213312.131796638</v>
      </c>
      <c r="AE49" s="66"/>
      <c r="AF49" s="67"/>
      <c r="AG49" s="67"/>
      <c r="AH49" s="68"/>
      <c r="AI49" s="68"/>
      <c r="AJ49" s="69"/>
      <c r="AK49" s="67">
        <f t="shared" si="8"/>
        <v>63471.390894611628</v>
      </c>
      <c r="AL49" s="67"/>
      <c r="AM49" s="67"/>
      <c r="AN49" s="67"/>
      <c r="AO49" s="67">
        <f t="shared" si="9"/>
        <v>63471.390894611628</v>
      </c>
      <c r="AP49" s="70">
        <f t="shared" ref="AP49:AP55" si="16">AB49/K49/L49/8*N49</f>
        <v>1364976.1482712177</v>
      </c>
      <c r="AQ49" s="70"/>
      <c r="AR49" s="70"/>
      <c r="AS49" s="71"/>
      <c r="AT49" s="72"/>
      <c r="AU49" s="72"/>
      <c r="AV49" s="73"/>
      <c r="AW49" s="74">
        <f t="shared" si="10"/>
        <v>1364976.1482712177</v>
      </c>
      <c r="AX49" s="74">
        <f t="shared" si="11"/>
        <v>1819968.197694957</v>
      </c>
      <c r="AY49" s="75"/>
      <c r="AZ49" s="75"/>
      <c r="BA49" s="75"/>
    </row>
    <row r="50" spans="1:53" s="76" customFormat="1" ht="25.5">
      <c r="A50" s="54">
        <f t="shared" si="13"/>
        <v>41</v>
      </c>
      <c r="B50" s="55" t="s">
        <v>131</v>
      </c>
      <c r="C50" s="56" t="s">
        <v>132</v>
      </c>
      <c r="D50" s="55" t="s">
        <v>57</v>
      </c>
      <c r="E50" s="55" t="s">
        <v>58</v>
      </c>
      <c r="F50" s="55"/>
      <c r="G50" s="55"/>
      <c r="H50" s="58">
        <v>43497</v>
      </c>
      <c r="I50" s="59" t="s">
        <v>81</v>
      </c>
      <c r="J50" s="60">
        <v>10000000</v>
      </c>
      <c r="K50" s="61">
        <v>7.7499999999999999E-2</v>
      </c>
      <c r="L50" s="62">
        <v>0.9</v>
      </c>
      <c r="M50" s="63">
        <v>10</v>
      </c>
      <c r="N50" s="62">
        <v>12</v>
      </c>
      <c r="O50" s="63">
        <f t="shared" si="3"/>
        <v>581250</v>
      </c>
      <c r="P50" s="63">
        <f t="shared" si="4"/>
        <v>6066560.6589831896</v>
      </c>
      <c r="Q50" s="63">
        <f t="shared" si="5"/>
        <v>352618.83830339788</v>
      </c>
      <c r="R50" s="63">
        <f t="shared" si="6"/>
        <v>228631.16169660212</v>
      </c>
      <c r="S50" s="64">
        <v>0.606656065898319</v>
      </c>
      <c r="T50" s="63"/>
      <c r="U50" s="62"/>
      <c r="V50" s="63">
        <f t="shared" si="1"/>
        <v>6066560.6589831896</v>
      </c>
      <c r="W50" s="63">
        <f t="shared" si="1"/>
        <v>352618.83830339788</v>
      </c>
      <c r="X50" s="65">
        <f t="shared" si="7"/>
        <v>6066560.6589831896</v>
      </c>
      <c r="Y50" s="65">
        <f t="shared" si="7"/>
        <v>352618.83830339788</v>
      </c>
      <c r="Z50" s="66"/>
      <c r="AA50" s="66"/>
      <c r="AB50" s="65">
        <f t="shared" si="14"/>
        <v>352618.83830339788</v>
      </c>
      <c r="AC50" s="66">
        <v>6066560.6589831896</v>
      </c>
      <c r="AD50" s="66">
        <f t="shared" si="15"/>
        <v>6740622.9544257652</v>
      </c>
      <c r="AE50" s="66"/>
      <c r="AF50" s="67"/>
      <c r="AG50" s="67"/>
      <c r="AH50" s="68"/>
      <c r="AI50" s="68"/>
      <c r="AJ50" s="69"/>
      <c r="AK50" s="67">
        <f t="shared" si="8"/>
        <v>352618.83830339788</v>
      </c>
      <c r="AL50" s="67"/>
      <c r="AM50" s="67"/>
      <c r="AN50" s="67"/>
      <c r="AO50" s="67">
        <f t="shared" si="9"/>
        <v>352618.83830339788</v>
      </c>
      <c r="AP50" s="70">
        <f t="shared" si="16"/>
        <v>7583200.8237289861</v>
      </c>
      <c r="AQ50" s="70"/>
      <c r="AR50" s="70"/>
      <c r="AS50" s="71"/>
      <c r="AT50" s="72"/>
      <c r="AU50" s="72"/>
      <c r="AV50" s="73"/>
      <c r="AW50" s="74">
        <f t="shared" si="10"/>
        <v>7583200.8237289861</v>
      </c>
      <c r="AX50" s="74">
        <f t="shared" si="11"/>
        <v>10110934.431638649</v>
      </c>
      <c r="AY50" s="75"/>
      <c r="AZ50" s="75"/>
      <c r="BA50" s="75"/>
    </row>
    <row r="51" spans="1:53" s="76" customFormat="1" ht="25.5">
      <c r="A51" s="54">
        <f t="shared" si="13"/>
        <v>42</v>
      </c>
      <c r="B51" s="55" t="s">
        <v>133</v>
      </c>
      <c r="C51" s="56" t="s">
        <v>134</v>
      </c>
      <c r="D51" s="55" t="s">
        <v>57</v>
      </c>
      <c r="E51" s="55" t="s">
        <v>58</v>
      </c>
      <c r="F51" s="55"/>
      <c r="G51" s="55"/>
      <c r="H51" s="58">
        <v>43525</v>
      </c>
      <c r="I51" s="59" t="s">
        <v>59</v>
      </c>
      <c r="J51" s="60">
        <v>2000000</v>
      </c>
      <c r="K51" s="61">
        <v>7.7499999999999999E-2</v>
      </c>
      <c r="L51" s="62">
        <v>0.9</v>
      </c>
      <c r="M51" s="63">
        <v>9</v>
      </c>
      <c r="N51" s="62">
        <v>12</v>
      </c>
      <c r="O51" s="63">
        <f t="shared" si="3"/>
        <v>104625</v>
      </c>
      <c r="P51" s="63">
        <f t="shared" si="4"/>
        <v>1213312.131796638</v>
      </c>
      <c r="Q51" s="63">
        <f t="shared" si="5"/>
        <v>63471.390894611628</v>
      </c>
      <c r="R51" s="63">
        <f t="shared" si="6"/>
        <v>41153.609105388372</v>
      </c>
      <c r="S51" s="64">
        <v>0.606656065898319</v>
      </c>
      <c r="T51" s="63"/>
      <c r="U51" s="62"/>
      <c r="V51" s="63">
        <f t="shared" si="1"/>
        <v>1213312.131796638</v>
      </c>
      <c r="W51" s="63">
        <f t="shared" si="1"/>
        <v>63471.390894611628</v>
      </c>
      <c r="X51" s="65">
        <f t="shared" si="7"/>
        <v>1213312.131796638</v>
      </c>
      <c r="Y51" s="65">
        <f t="shared" si="7"/>
        <v>63471.390894611628</v>
      </c>
      <c r="Z51" s="66"/>
      <c r="AA51" s="66"/>
      <c r="AB51" s="65">
        <f t="shared" si="14"/>
        <v>63471.390894611628</v>
      </c>
      <c r="AC51" s="66">
        <v>1091980.9186169743</v>
      </c>
      <c r="AD51" s="66">
        <f t="shared" si="15"/>
        <v>1213312.131796638</v>
      </c>
      <c r="AE51" s="66"/>
      <c r="AF51" s="67"/>
      <c r="AG51" s="67"/>
      <c r="AH51" s="68"/>
      <c r="AI51" s="68"/>
      <c r="AJ51" s="69"/>
      <c r="AK51" s="67">
        <f t="shared" si="8"/>
        <v>63471.390894611628</v>
      </c>
      <c r="AL51" s="67"/>
      <c r="AM51" s="67"/>
      <c r="AN51" s="67"/>
      <c r="AO51" s="67">
        <f t="shared" si="9"/>
        <v>63471.390894611628</v>
      </c>
      <c r="AP51" s="70">
        <f t="shared" si="16"/>
        <v>1364976.1482712177</v>
      </c>
      <c r="AQ51" s="70"/>
      <c r="AR51" s="70"/>
      <c r="AS51" s="71"/>
      <c r="AT51" s="72"/>
      <c r="AU51" s="72"/>
      <c r="AV51" s="73"/>
      <c r="AW51" s="74">
        <f t="shared" si="10"/>
        <v>1364976.1482712177</v>
      </c>
      <c r="AX51" s="74">
        <f t="shared" si="11"/>
        <v>1819968.197694957</v>
      </c>
      <c r="AY51" s="75"/>
      <c r="AZ51" s="75"/>
      <c r="BA51" s="75"/>
    </row>
    <row r="52" spans="1:53" s="222" customFormat="1" ht="25.5">
      <c r="A52" s="77">
        <f t="shared" si="13"/>
        <v>43</v>
      </c>
      <c r="B52" s="78" t="s">
        <v>135</v>
      </c>
      <c r="C52" s="79" t="s">
        <v>136</v>
      </c>
      <c r="D52" s="78" t="s">
        <v>105</v>
      </c>
      <c r="E52" s="80" t="s">
        <v>85</v>
      </c>
      <c r="F52" s="78"/>
      <c r="G52" s="78"/>
      <c r="H52" s="81">
        <v>43497</v>
      </c>
      <c r="I52" s="81">
        <v>43497</v>
      </c>
      <c r="J52" s="82">
        <v>10000000</v>
      </c>
      <c r="K52" s="117">
        <v>7.7499999999999999E-2</v>
      </c>
      <c r="L52" s="85">
        <v>0.9</v>
      </c>
      <c r="M52" s="83">
        <v>10</v>
      </c>
      <c r="N52" s="85">
        <v>12</v>
      </c>
      <c r="O52" s="83">
        <f t="shared" si="3"/>
        <v>581250</v>
      </c>
      <c r="P52" s="83">
        <f t="shared" si="4"/>
        <v>6066560.6589831896</v>
      </c>
      <c r="Q52" s="83">
        <f t="shared" si="5"/>
        <v>352618.83830339788</v>
      </c>
      <c r="R52" s="83">
        <f t="shared" si="6"/>
        <v>228631.16169660212</v>
      </c>
      <c r="S52" s="84">
        <v>0.606656065898319</v>
      </c>
      <c r="T52" s="83"/>
      <c r="U52" s="85"/>
      <c r="V52" s="83">
        <f t="shared" si="1"/>
        <v>6066560.6589831896</v>
      </c>
      <c r="W52" s="83">
        <f t="shared" si="1"/>
        <v>352618.83830339788</v>
      </c>
      <c r="X52" s="86">
        <f t="shared" si="7"/>
        <v>6066560.6589831896</v>
      </c>
      <c r="Y52" s="86">
        <f t="shared" si="7"/>
        <v>352618.83830339788</v>
      </c>
      <c r="Z52" s="87">
        <f>1332893.84-Z53-Z54-Z55-Z56</f>
        <v>352618.84000000008</v>
      </c>
      <c r="AA52" s="87"/>
      <c r="AB52" s="86">
        <f t="shared" si="14"/>
        <v>-1.6966022085398436E-3</v>
      </c>
      <c r="AC52" s="87">
        <v>8366083.6244075373</v>
      </c>
      <c r="AD52" s="87">
        <f t="shared" si="15"/>
        <v>-3.2432061334094979E-2</v>
      </c>
      <c r="AE52" s="87"/>
      <c r="AF52" s="88"/>
      <c r="AG52" s="88"/>
      <c r="AH52" s="88"/>
      <c r="AI52" s="88"/>
      <c r="AJ52" s="88"/>
      <c r="AK52" s="130">
        <f t="shared" si="8"/>
        <v>-1.6966022085398436E-3</v>
      </c>
      <c r="AL52" s="130"/>
      <c r="AM52" s="130"/>
      <c r="AN52" s="130"/>
      <c r="AO52" s="130">
        <f t="shared" si="9"/>
        <v>-1.6966022085398436E-3</v>
      </c>
      <c r="AP52" s="89">
        <f t="shared" si="16"/>
        <v>-3.6486069000856852E-2</v>
      </c>
      <c r="AQ52" s="182"/>
      <c r="AR52" s="182"/>
      <c r="AS52" s="183"/>
      <c r="AT52" s="183"/>
      <c r="AU52" s="183"/>
      <c r="AV52" s="183"/>
      <c r="AW52" s="186">
        <f t="shared" si="10"/>
        <v>-3.6486069000856852E-2</v>
      </c>
      <c r="AX52" s="223">
        <f t="shared" si="11"/>
        <v>-4.8648092001142465E-2</v>
      </c>
      <c r="AY52" s="221"/>
      <c r="AZ52" s="221"/>
      <c r="BA52" s="221"/>
    </row>
    <row r="53" spans="1:53" s="222" customFormat="1" ht="25.5">
      <c r="A53" s="77">
        <f t="shared" si="13"/>
        <v>44</v>
      </c>
      <c r="B53" s="78" t="s">
        <v>135</v>
      </c>
      <c r="C53" s="79" t="s">
        <v>136</v>
      </c>
      <c r="D53" s="78" t="s">
        <v>105</v>
      </c>
      <c r="E53" s="80" t="s">
        <v>85</v>
      </c>
      <c r="F53" s="78"/>
      <c r="G53" s="78"/>
      <c r="H53" s="81">
        <v>43525</v>
      </c>
      <c r="I53" s="81">
        <v>43525</v>
      </c>
      <c r="J53" s="82">
        <v>10000000</v>
      </c>
      <c r="K53" s="117">
        <v>7.7499999999999999E-2</v>
      </c>
      <c r="L53" s="85">
        <v>0.9</v>
      </c>
      <c r="M53" s="83">
        <v>9</v>
      </c>
      <c r="N53" s="85">
        <v>12</v>
      </c>
      <c r="O53" s="83">
        <f t="shared" si="3"/>
        <v>523125</v>
      </c>
      <c r="P53" s="83">
        <f t="shared" si="4"/>
        <v>6066560.6589831896</v>
      </c>
      <c r="Q53" s="83">
        <f t="shared" si="5"/>
        <v>317356.95447305811</v>
      </c>
      <c r="R53" s="83">
        <f t="shared" si="6"/>
        <v>205768.04552694189</v>
      </c>
      <c r="S53" s="84">
        <v>0.606656065898319</v>
      </c>
      <c r="T53" s="83"/>
      <c r="U53" s="85"/>
      <c r="V53" s="83">
        <f t="shared" si="1"/>
        <v>6066560.6589831896</v>
      </c>
      <c r="W53" s="83">
        <f t="shared" si="1"/>
        <v>317356.95447305811</v>
      </c>
      <c r="X53" s="86">
        <f t="shared" si="7"/>
        <v>6066560.6589831896</v>
      </c>
      <c r="Y53" s="86">
        <f t="shared" si="7"/>
        <v>317356.95447305811</v>
      </c>
      <c r="Z53" s="93">
        <v>317356.95</v>
      </c>
      <c r="AA53" s="93"/>
      <c r="AB53" s="86">
        <f t="shared" si="14"/>
        <v>4.4730580993928015E-3</v>
      </c>
      <c r="AC53" s="87">
        <v>0</v>
      </c>
      <c r="AD53" s="87">
        <f t="shared" si="15"/>
        <v>8.5506486965692741E-2</v>
      </c>
      <c r="AE53" s="87"/>
      <c r="AF53" s="88"/>
      <c r="AG53" s="88"/>
      <c r="AH53" s="88"/>
      <c r="AI53" s="88"/>
      <c r="AJ53" s="88"/>
      <c r="AK53" s="130">
        <f t="shared" si="8"/>
        <v>4.4730580993928015E-3</v>
      </c>
      <c r="AL53" s="130"/>
      <c r="AM53" s="130"/>
      <c r="AN53" s="130"/>
      <c r="AO53" s="130">
        <f t="shared" si="9"/>
        <v>4.4730580993928015E-3</v>
      </c>
      <c r="AP53" s="119">
        <f t="shared" si="16"/>
        <v>9.6194797836404333E-2</v>
      </c>
      <c r="AQ53" s="182"/>
      <c r="AR53" s="182"/>
      <c r="AS53" s="183"/>
      <c r="AT53" s="183"/>
      <c r="AU53" s="183"/>
      <c r="AV53" s="183"/>
      <c r="AW53" s="186">
        <f t="shared" si="10"/>
        <v>9.6194797836404333E-2</v>
      </c>
      <c r="AX53" s="186">
        <f t="shared" si="11"/>
        <v>0.12825973044853911</v>
      </c>
      <c r="AY53" s="221"/>
      <c r="AZ53" s="221"/>
      <c r="BA53" s="221"/>
    </row>
    <row r="54" spans="1:53" s="222" customFormat="1" ht="25.5">
      <c r="A54" s="77">
        <f t="shared" si="13"/>
        <v>45</v>
      </c>
      <c r="B54" s="78" t="s">
        <v>137</v>
      </c>
      <c r="C54" s="79" t="s">
        <v>136</v>
      </c>
      <c r="D54" s="78" t="s">
        <v>105</v>
      </c>
      <c r="E54" s="80" t="s">
        <v>85</v>
      </c>
      <c r="F54" s="78"/>
      <c r="G54" s="78"/>
      <c r="H54" s="81">
        <v>43556</v>
      </c>
      <c r="I54" s="81">
        <v>43556</v>
      </c>
      <c r="J54" s="82">
        <v>10000000</v>
      </c>
      <c r="K54" s="117">
        <v>7.7499999999999999E-2</v>
      </c>
      <c r="L54" s="85">
        <v>0.9</v>
      </c>
      <c r="M54" s="83">
        <v>8</v>
      </c>
      <c r="N54" s="85">
        <v>12</v>
      </c>
      <c r="O54" s="83">
        <f t="shared" si="3"/>
        <v>465000</v>
      </c>
      <c r="P54" s="83">
        <f t="shared" si="4"/>
        <v>6066560.6589831896</v>
      </c>
      <c r="Q54" s="83">
        <f t="shared" si="5"/>
        <v>282095.07064271829</v>
      </c>
      <c r="R54" s="83">
        <f t="shared" si="6"/>
        <v>182904.92935728171</v>
      </c>
      <c r="S54" s="84">
        <v>0.606656065898319</v>
      </c>
      <c r="T54" s="83"/>
      <c r="U54" s="85"/>
      <c r="V54" s="83">
        <f t="shared" si="1"/>
        <v>6066560.6589831896</v>
      </c>
      <c r="W54" s="83">
        <f t="shared" si="1"/>
        <v>282095.07064271829</v>
      </c>
      <c r="X54" s="86">
        <f t="shared" si="7"/>
        <v>6066560.6589831896</v>
      </c>
      <c r="Y54" s="86">
        <f t="shared" si="7"/>
        <v>282095.07064271829</v>
      </c>
      <c r="Z54" s="93">
        <v>282095.07</v>
      </c>
      <c r="AA54" s="93"/>
      <c r="AB54" s="86">
        <f t="shared" si="14"/>
        <v>6.4271828159689903E-4</v>
      </c>
      <c r="AC54" s="87">
        <v>0</v>
      </c>
      <c r="AD54" s="87">
        <f t="shared" si="15"/>
        <v>1.2286132025747173E-2</v>
      </c>
      <c r="AE54" s="87"/>
      <c r="AF54" s="88"/>
      <c r="AG54" s="88"/>
      <c r="AH54" s="88"/>
      <c r="AI54" s="88"/>
      <c r="AJ54" s="88"/>
      <c r="AK54" s="130">
        <f t="shared" si="8"/>
        <v>6.4271828159689903E-4</v>
      </c>
      <c r="AL54" s="130"/>
      <c r="AM54" s="130"/>
      <c r="AN54" s="130"/>
      <c r="AO54" s="130">
        <f t="shared" si="9"/>
        <v>6.4271828159689903E-4</v>
      </c>
      <c r="AP54" s="119">
        <f t="shared" si="16"/>
        <v>1.382189852896557E-2</v>
      </c>
      <c r="AQ54" s="182"/>
      <c r="AR54" s="182"/>
      <c r="AS54" s="183"/>
      <c r="AT54" s="183"/>
      <c r="AU54" s="183"/>
      <c r="AV54" s="183"/>
      <c r="AW54" s="186">
        <f t="shared" si="10"/>
        <v>1.382189852896557E-2</v>
      </c>
      <c r="AX54" s="186">
        <f t="shared" si="11"/>
        <v>1.842919803862076E-2</v>
      </c>
      <c r="AY54" s="221"/>
      <c r="AZ54" s="221"/>
      <c r="BA54" s="221"/>
    </row>
    <row r="55" spans="1:53" s="222" customFormat="1" ht="25.5">
      <c r="A55" s="77">
        <f t="shared" si="13"/>
        <v>46</v>
      </c>
      <c r="B55" s="78" t="s">
        <v>137</v>
      </c>
      <c r="C55" s="79" t="s">
        <v>136</v>
      </c>
      <c r="D55" s="78" t="s">
        <v>105</v>
      </c>
      <c r="E55" s="80" t="s">
        <v>85</v>
      </c>
      <c r="F55" s="78"/>
      <c r="G55" s="78"/>
      <c r="H55" s="81">
        <v>43586</v>
      </c>
      <c r="I55" s="81">
        <v>43586</v>
      </c>
      <c r="J55" s="82">
        <v>10000000</v>
      </c>
      <c r="K55" s="117">
        <v>7.7499999999999999E-2</v>
      </c>
      <c r="L55" s="85">
        <v>0.9</v>
      </c>
      <c r="M55" s="83">
        <v>7</v>
      </c>
      <c r="N55" s="85">
        <v>12</v>
      </c>
      <c r="O55" s="83">
        <f t="shared" si="3"/>
        <v>406875</v>
      </c>
      <c r="P55" s="83">
        <f t="shared" si="4"/>
        <v>6066560.6589831896</v>
      </c>
      <c r="Q55" s="83">
        <f t="shared" si="5"/>
        <v>246833.1868123785</v>
      </c>
      <c r="R55" s="83">
        <f t="shared" si="6"/>
        <v>160041.8131876215</v>
      </c>
      <c r="S55" s="84">
        <v>0.606656065898319</v>
      </c>
      <c r="T55" s="83"/>
      <c r="U55" s="85"/>
      <c r="V55" s="83">
        <f t="shared" si="1"/>
        <v>6066560.6589831896</v>
      </c>
      <c r="W55" s="83">
        <f t="shared" si="1"/>
        <v>246833.1868123785</v>
      </c>
      <c r="X55" s="86">
        <f t="shared" si="7"/>
        <v>6066560.6589831896</v>
      </c>
      <c r="Y55" s="86">
        <f t="shared" si="7"/>
        <v>246833.1868123785</v>
      </c>
      <c r="Z55" s="93">
        <v>246833.19</v>
      </c>
      <c r="AA55" s="93"/>
      <c r="AB55" s="86">
        <f t="shared" si="14"/>
        <v>-3.187621507095173E-3</v>
      </c>
      <c r="AC55" s="87">
        <v>0</v>
      </c>
      <c r="AD55" s="87">
        <f t="shared" si="15"/>
        <v>-6.0934222357852771E-2</v>
      </c>
      <c r="AE55" s="87"/>
      <c r="AF55" s="88"/>
      <c r="AG55" s="88"/>
      <c r="AH55" s="88"/>
      <c r="AI55" s="88"/>
      <c r="AJ55" s="88"/>
      <c r="AK55" s="130">
        <f t="shared" si="8"/>
        <v>-3.187621507095173E-3</v>
      </c>
      <c r="AL55" s="130"/>
      <c r="AM55" s="130"/>
      <c r="AN55" s="130"/>
      <c r="AO55" s="130">
        <f t="shared" si="9"/>
        <v>-3.187621507095173E-3</v>
      </c>
      <c r="AP55" s="89">
        <f t="shared" si="16"/>
        <v>-6.8551000152584363E-2</v>
      </c>
      <c r="AQ55" s="182"/>
      <c r="AR55" s="182"/>
      <c r="AS55" s="183"/>
      <c r="AT55" s="183"/>
      <c r="AU55" s="183"/>
      <c r="AV55" s="183"/>
      <c r="AW55" s="186">
        <f t="shared" si="10"/>
        <v>-6.8551000152584363E-2</v>
      </c>
      <c r="AX55" s="223">
        <f t="shared" si="11"/>
        <v>-9.140133353677915E-2</v>
      </c>
      <c r="AY55" s="221"/>
      <c r="AZ55" s="221"/>
      <c r="BA55" s="221"/>
    </row>
    <row r="56" spans="1:53" s="230" customFormat="1" ht="25.5">
      <c r="A56" s="134">
        <f t="shared" si="13"/>
        <v>47</v>
      </c>
      <c r="B56" s="135" t="s">
        <v>137</v>
      </c>
      <c r="C56" s="136" t="s">
        <v>136</v>
      </c>
      <c r="D56" s="135" t="s">
        <v>105</v>
      </c>
      <c r="E56" s="135" t="s">
        <v>85</v>
      </c>
      <c r="F56" s="135"/>
      <c r="G56" s="135"/>
      <c r="H56" s="137">
        <v>43617</v>
      </c>
      <c r="I56" s="137">
        <v>43617</v>
      </c>
      <c r="J56" s="138">
        <v>10000000</v>
      </c>
      <c r="K56" s="139">
        <v>7.7499999999999999E-2</v>
      </c>
      <c r="L56" s="140">
        <v>0.9</v>
      </c>
      <c r="M56" s="141">
        <v>6</v>
      </c>
      <c r="N56" s="140">
        <v>12</v>
      </c>
      <c r="O56" s="141">
        <f t="shared" si="3"/>
        <v>348750</v>
      </c>
      <c r="P56" s="141">
        <f t="shared" si="4"/>
        <v>6066560.6589831896</v>
      </c>
      <c r="Q56" s="141">
        <f t="shared" si="5"/>
        <v>211571.30298203873</v>
      </c>
      <c r="R56" s="141">
        <f t="shared" si="6"/>
        <v>137178.69701796127</v>
      </c>
      <c r="S56" s="142">
        <v>0.606656065898319</v>
      </c>
      <c r="T56" s="141"/>
      <c r="U56" s="140"/>
      <c r="V56" s="141">
        <f t="shared" si="1"/>
        <v>6066560.6589831896</v>
      </c>
      <c r="W56" s="141">
        <f t="shared" si="1"/>
        <v>211571.30298203873</v>
      </c>
      <c r="X56" s="143">
        <f t="shared" si="7"/>
        <v>6066560.6589831896</v>
      </c>
      <c r="Y56" s="143">
        <f t="shared" si="7"/>
        <v>211571.30298203873</v>
      </c>
      <c r="Z56" s="144">
        <f>211571.3-77581.51</f>
        <v>133989.78999999998</v>
      </c>
      <c r="AA56" s="144"/>
      <c r="AB56" s="143">
        <f t="shared" si="14"/>
        <v>77581.512982038752</v>
      </c>
      <c r="AC56" s="145">
        <v>0</v>
      </c>
      <c r="AD56" s="145">
        <f t="shared" si="15"/>
        <v>1483039.6746865236</v>
      </c>
      <c r="AE56" s="145"/>
      <c r="AF56" s="146"/>
      <c r="AG56" s="146"/>
      <c r="AH56" s="146"/>
      <c r="AI56" s="146"/>
      <c r="AJ56" s="146">
        <v>77581.509999999995</v>
      </c>
      <c r="AK56" s="146">
        <f t="shared" si="8"/>
        <v>2.9820387571817264E-3</v>
      </c>
      <c r="AL56" s="146"/>
      <c r="AM56" s="146"/>
      <c r="AN56" s="146"/>
      <c r="AO56" s="130">
        <f t="shared" si="9"/>
        <v>2.9820387571817264E-3</v>
      </c>
      <c r="AP56" s="147">
        <f>AB56/K56/L56/7*N56</f>
        <v>1906765.2960255304</v>
      </c>
      <c r="AQ56" s="147"/>
      <c r="AR56" s="147"/>
      <c r="AS56" s="148"/>
      <c r="AT56" s="148"/>
      <c r="AU56" s="148"/>
      <c r="AV56" s="147">
        <f>AJ56/K56/L56/6.28*12</f>
        <v>2125375.2482706658</v>
      </c>
      <c r="AW56" s="149">
        <f t="shared" si="10"/>
        <v>-218609.95224513533</v>
      </c>
      <c r="AX56" s="186">
        <f t="shared" si="11"/>
        <v>8.5506487661124772E-2</v>
      </c>
      <c r="AY56" s="229"/>
      <c r="AZ56" s="229"/>
      <c r="BA56" s="229"/>
    </row>
    <row r="57" spans="1:53" s="230" customFormat="1" ht="25.5">
      <c r="A57" s="134">
        <f t="shared" si="13"/>
        <v>48</v>
      </c>
      <c r="B57" s="135" t="s">
        <v>137</v>
      </c>
      <c r="C57" s="136" t="s">
        <v>136</v>
      </c>
      <c r="D57" s="135" t="s">
        <v>105</v>
      </c>
      <c r="E57" s="135" t="s">
        <v>85</v>
      </c>
      <c r="F57" s="135"/>
      <c r="G57" s="135"/>
      <c r="H57" s="137">
        <v>43647</v>
      </c>
      <c r="I57" s="137">
        <v>43647</v>
      </c>
      <c r="J57" s="138">
        <v>10000000</v>
      </c>
      <c r="K57" s="139">
        <v>7.7499999999999999E-2</v>
      </c>
      <c r="L57" s="140">
        <v>0.9</v>
      </c>
      <c r="M57" s="141">
        <v>5</v>
      </c>
      <c r="N57" s="140">
        <v>12</v>
      </c>
      <c r="O57" s="141">
        <f t="shared" si="3"/>
        <v>290625</v>
      </c>
      <c r="P57" s="141">
        <f t="shared" si="4"/>
        <v>6066560.6589831896</v>
      </c>
      <c r="Q57" s="141">
        <f t="shared" si="5"/>
        <v>176309.41915169894</v>
      </c>
      <c r="R57" s="141">
        <f t="shared" si="6"/>
        <v>114315.58084830106</v>
      </c>
      <c r="S57" s="142">
        <v>0.606656065898319</v>
      </c>
      <c r="T57" s="141"/>
      <c r="U57" s="140"/>
      <c r="V57" s="141">
        <f t="shared" si="1"/>
        <v>6066560.6589831896</v>
      </c>
      <c r="W57" s="141">
        <f t="shared" si="1"/>
        <v>176309.41915169894</v>
      </c>
      <c r="X57" s="143">
        <f t="shared" si="7"/>
        <v>6066560.6589831896</v>
      </c>
      <c r="Y57" s="143">
        <f t="shared" si="7"/>
        <v>176309.41915169894</v>
      </c>
      <c r="Z57" s="144"/>
      <c r="AA57" s="144"/>
      <c r="AB57" s="143">
        <f t="shared" si="14"/>
        <v>176309.41915169894</v>
      </c>
      <c r="AC57" s="145">
        <v>0</v>
      </c>
      <c r="AD57" s="145">
        <f t="shared" si="15"/>
        <v>3370311.4772128826</v>
      </c>
      <c r="AE57" s="145"/>
      <c r="AF57" s="146"/>
      <c r="AG57" s="146"/>
      <c r="AH57" s="146"/>
      <c r="AI57" s="146"/>
      <c r="AJ57" s="146">
        <v>176309.42</v>
      </c>
      <c r="AK57" s="146">
        <f t="shared" si="8"/>
        <v>-8.4830107516609132E-4</v>
      </c>
      <c r="AL57" s="146"/>
      <c r="AM57" s="146"/>
      <c r="AN57" s="146"/>
      <c r="AO57" s="130">
        <f t="shared" si="9"/>
        <v>-8.4830107516609132E-4</v>
      </c>
      <c r="AP57" s="147">
        <f t="shared" ref="AP57:AP120" si="17">AB57/K57/L57/8*N57</f>
        <v>3791600.411864493</v>
      </c>
      <c r="AQ57" s="147"/>
      <c r="AR57" s="147"/>
      <c r="AS57" s="148"/>
      <c r="AT57" s="148"/>
      <c r="AU57" s="148"/>
      <c r="AV57" s="147">
        <f t="shared" ref="AV57:AV59" si="18">AJ57/K57/L57/6.28*12</f>
        <v>4830064.2421751935</v>
      </c>
      <c r="AW57" s="149">
        <f t="shared" si="10"/>
        <v>-1038463.8303107005</v>
      </c>
      <c r="AX57" s="223">
        <f t="shared" si="11"/>
        <v>-2.4324045166052796E-2</v>
      </c>
      <c r="AY57" s="229"/>
      <c r="AZ57" s="229"/>
      <c r="BA57" s="229"/>
    </row>
    <row r="58" spans="1:53" s="230" customFormat="1" ht="25.5">
      <c r="A58" s="134">
        <f t="shared" si="13"/>
        <v>49</v>
      </c>
      <c r="B58" s="135" t="s">
        <v>137</v>
      </c>
      <c r="C58" s="136" t="s">
        <v>136</v>
      </c>
      <c r="D58" s="135" t="s">
        <v>105</v>
      </c>
      <c r="E58" s="135" t="s">
        <v>85</v>
      </c>
      <c r="F58" s="135"/>
      <c r="G58" s="135"/>
      <c r="H58" s="137">
        <v>43678</v>
      </c>
      <c r="I58" s="137">
        <v>43678</v>
      </c>
      <c r="J58" s="138">
        <v>10000000</v>
      </c>
      <c r="K58" s="139">
        <v>7.7499999999999999E-2</v>
      </c>
      <c r="L58" s="140">
        <v>0.9</v>
      </c>
      <c r="M58" s="141">
        <v>4</v>
      </c>
      <c r="N58" s="140">
        <v>12</v>
      </c>
      <c r="O58" s="141">
        <f t="shared" si="3"/>
        <v>232500</v>
      </c>
      <c r="P58" s="141">
        <f t="shared" si="4"/>
        <v>6066560.6589831896</v>
      </c>
      <c r="Q58" s="141">
        <f t="shared" si="5"/>
        <v>141047.53532135914</v>
      </c>
      <c r="R58" s="141">
        <f t="shared" si="6"/>
        <v>91452.464678640856</v>
      </c>
      <c r="S58" s="142">
        <v>0.606656065898319</v>
      </c>
      <c r="T58" s="141"/>
      <c r="U58" s="140"/>
      <c r="V58" s="141">
        <f t="shared" si="1"/>
        <v>6066560.6589831896</v>
      </c>
      <c r="W58" s="141">
        <f t="shared" si="1"/>
        <v>141047.53532135914</v>
      </c>
      <c r="X58" s="143">
        <f t="shared" si="7"/>
        <v>6066560.6589831896</v>
      </c>
      <c r="Y58" s="143">
        <f t="shared" si="7"/>
        <v>141047.53532135914</v>
      </c>
      <c r="Z58" s="144"/>
      <c r="AA58" s="144"/>
      <c r="AB58" s="143">
        <f t="shared" si="14"/>
        <v>141047.53532135914</v>
      </c>
      <c r="AC58" s="145">
        <v>0</v>
      </c>
      <c r="AD58" s="145">
        <f t="shared" si="15"/>
        <v>2696249.1817703065</v>
      </c>
      <c r="AE58" s="145"/>
      <c r="AF58" s="146"/>
      <c r="AG58" s="146"/>
      <c r="AH58" s="146"/>
      <c r="AI58" s="146"/>
      <c r="AJ58" s="146">
        <v>141047.54</v>
      </c>
      <c r="AK58" s="146">
        <f t="shared" si="8"/>
        <v>-4.6786408638581634E-3</v>
      </c>
      <c r="AL58" s="146"/>
      <c r="AM58" s="146"/>
      <c r="AN58" s="146"/>
      <c r="AO58" s="130">
        <f t="shared" si="9"/>
        <v>-4.6786408638581634E-3</v>
      </c>
      <c r="AP58" s="147">
        <f t="shared" si="17"/>
        <v>3033280.3294915948</v>
      </c>
      <c r="AQ58" s="147"/>
      <c r="AR58" s="147"/>
      <c r="AS58" s="148"/>
      <c r="AT58" s="148"/>
      <c r="AU58" s="148"/>
      <c r="AV58" s="147">
        <f t="shared" si="18"/>
        <v>3864051.5033216905</v>
      </c>
      <c r="AW58" s="149">
        <f t="shared" si="10"/>
        <v>-830771.17383009568</v>
      </c>
      <c r="AX58" s="223">
        <f t="shared" si="11"/>
        <v>-0.1341545767414527</v>
      </c>
      <c r="AY58" s="229"/>
      <c r="AZ58" s="229"/>
      <c r="BA58" s="229"/>
    </row>
    <row r="59" spans="1:53" s="230" customFormat="1" ht="25.5">
      <c r="A59" s="134">
        <f t="shared" si="13"/>
        <v>50</v>
      </c>
      <c r="B59" s="135" t="s">
        <v>137</v>
      </c>
      <c r="C59" s="136" t="s">
        <v>136</v>
      </c>
      <c r="D59" s="135" t="s">
        <v>105</v>
      </c>
      <c r="E59" s="135" t="s">
        <v>85</v>
      </c>
      <c r="F59" s="135"/>
      <c r="G59" s="135"/>
      <c r="H59" s="137">
        <v>43709</v>
      </c>
      <c r="I59" s="137">
        <v>43709</v>
      </c>
      <c r="J59" s="138">
        <v>10000000</v>
      </c>
      <c r="K59" s="139">
        <v>7.7499999999999999E-2</v>
      </c>
      <c r="L59" s="140">
        <v>0.9</v>
      </c>
      <c r="M59" s="141">
        <v>3</v>
      </c>
      <c r="N59" s="140">
        <v>12</v>
      </c>
      <c r="O59" s="141">
        <f t="shared" si="3"/>
        <v>174375</v>
      </c>
      <c r="P59" s="141">
        <f t="shared" si="4"/>
        <v>6066560.6589831896</v>
      </c>
      <c r="Q59" s="141">
        <f t="shared" si="5"/>
        <v>105785.65149101937</v>
      </c>
      <c r="R59" s="141">
        <f t="shared" si="6"/>
        <v>68589.348508980635</v>
      </c>
      <c r="S59" s="142">
        <v>0.606656065898319</v>
      </c>
      <c r="T59" s="141"/>
      <c r="U59" s="140"/>
      <c r="V59" s="141">
        <f t="shared" si="1"/>
        <v>6066560.6589831896</v>
      </c>
      <c r="W59" s="141">
        <f t="shared" si="1"/>
        <v>105785.65149101937</v>
      </c>
      <c r="X59" s="143">
        <f t="shared" si="7"/>
        <v>6066560.6589831896</v>
      </c>
      <c r="Y59" s="143">
        <f t="shared" si="7"/>
        <v>105785.65149101937</v>
      </c>
      <c r="Z59" s="144"/>
      <c r="AA59" s="144"/>
      <c r="AB59" s="143">
        <f t="shared" si="14"/>
        <v>105785.65149101937</v>
      </c>
      <c r="AC59" s="145">
        <v>0</v>
      </c>
      <c r="AD59" s="145">
        <f t="shared" si="15"/>
        <v>2022186.88632773</v>
      </c>
      <c r="AE59" s="145"/>
      <c r="AF59" s="146"/>
      <c r="AG59" s="146"/>
      <c r="AH59" s="146"/>
      <c r="AI59" s="146"/>
      <c r="AJ59" s="146">
        <v>105785.65</v>
      </c>
      <c r="AK59" s="146">
        <f t="shared" si="8"/>
        <v>1.4910193713149056E-3</v>
      </c>
      <c r="AL59" s="146"/>
      <c r="AM59" s="146"/>
      <c r="AN59" s="146"/>
      <c r="AO59" s="130">
        <f t="shared" si="9"/>
        <v>1.4910193713149056E-3</v>
      </c>
      <c r="AP59" s="147">
        <f t="shared" si="17"/>
        <v>2274960.2471186961</v>
      </c>
      <c r="AQ59" s="147"/>
      <c r="AR59" s="147"/>
      <c r="AS59" s="148"/>
      <c r="AT59" s="148"/>
      <c r="AU59" s="148"/>
      <c r="AV59" s="147">
        <f t="shared" si="18"/>
        <v>2898038.4905143483</v>
      </c>
      <c r="AW59" s="149">
        <f t="shared" si="10"/>
        <v>-623078.24339565216</v>
      </c>
      <c r="AX59" s="186">
        <f t="shared" si="11"/>
        <v>4.2753243621932779E-2</v>
      </c>
      <c r="AY59" s="229"/>
      <c r="AZ59" s="229"/>
      <c r="BA59" s="229"/>
    </row>
    <row r="60" spans="1:53" ht="25.5">
      <c r="A60" s="151">
        <f t="shared" si="13"/>
        <v>51</v>
      </c>
      <c r="B60" s="152" t="s">
        <v>137</v>
      </c>
      <c r="C60" s="153" t="s">
        <v>136</v>
      </c>
      <c r="D60" s="152" t="s">
        <v>105</v>
      </c>
      <c r="E60" s="152" t="s">
        <v>85</v>
      </c>
      <c r="F60" s="152"/>
      <c r="G60" s="152"/>
      <c r="H60" s="154">
        <v>43739</v>
      </c>
      <c r="I60" s="154">
        <v>43739</v>
      </c>
      <c r="J60" s="155">
        <v>10000000</v>
      </c>
      <c r="K60" s="156">
        <v>7.7499999999999999E-2</v>
      </c>
      <c r="L60" s="157">
        <v>0.9</v>
      </c>
      <c r="M60" s="158">
        <v>2</v>
      </c>
      <c r="N60" s="157">
        <v>12</v>
      </c>
      <c r="O60" s="158">
        <f t="shared" si="3"/>
        <v>116250</v>
      </c>
      <c r="P60" s="158">
        <f t="shared" si="4"/>
        <v>6066560.6589831896</v>
      </c>
      <c r="Q60" s="158">
        <f t="shared" si="5"/>
        <v>70523.767660679572</v>
      </c>
      <c r="R60" s="158">
        <f t="shared" si="6"/>
        <v>45726.232339320428</v>
      </c>
      <c r="S60" s="159">
        <v>0.606656065898319</v>
      </c>
      <c r="T60" s="158"/>
      <c r="U60" s="157"/>
      <c r="V60" s="158">
        <f t="shared" si="1"/>
        <v>6066560.6589831896</v>
      </c>
      <c r="W60" s="158">
        <f t="shared" si="1"/>
        <v>70523.767660679572</v>
      </c>
      <c r="X60" s="160">
        <f t="shared" si="7"/>
        <v>6066560.6589831896</v>
      </c>
      <c r="Y60" s="160">
        <f t="shared" si="7"/>
        <v>70523.767660679572</v>
      </c>
      <c r="Z60" s="161"/>
      <c r="AA60" s="161"/>
      <c r="AB60" s="160">
        <f t="shared" si="14"/>
        <v>70523.767660679572</v>
      </c>
      <c r="AC60" s="162">
        <v>0</v>
      </c>
      <c r="AD60" s="162">
        <f t="shared" si="15"/>
        <v>1348124.5908851533</v>
      </c>
      <c r="AE60" s="162"/>
      <c r="AF60" s="163"/>
      <c r="AG60" s="163"/>
      <c r="AH60" s="68"/>
      <c r="AI60" s="68"/>
      <c r="AJ60" s="69">
        <v>43115.67</v>
      </c>
      <c r="AK60" s="67">
        <f t="shared" si="8"/>
        <v>27408.097660679574</v>
      </c>
      <c r="AL60" s="67"/>
      <c r="AM60" s="67"/>
      <c r="AN60" s="67"/>
      <c r="AO60" s="67">
        <f t="shared" si="9"/>
        <v>27408.097660679574</v>
      </c>
      <c r="AP60" s="164">
        <f t="shared" si="17"/>
        <v>1516640.1647457974</v>
      </c>
      <c r="AQ60" s="164"/>
      <c r="AR60" s="164"/>
      <c r="AS60" s="165"/>
      <c r="AT60" s="72"/>
      <c r="AU60" s="72"/>
      <c r="AV60" s="113">
        <f>AJ60/K60/L60/6.28*12+1300.18</f>
        <v>1182470.5107992603</v>
      </c>
      <c r="AW60" s="74">
        <f t="shared" si="10"/>
        <v>334169.65394653706</v>
      </c>
      <c r="AX60" s="74">
        <f t="shared" si="11"/>
        <v>785895.27342450386</v>
      </c>
      <c r="AY60" s="150"/>
      <c r="AZ60" s="150"/>
      <c r="BA60" s="150"/>
    </row>
    <row r="61" spans="1:53" ht="25.5">
      <c r="A61" s="151">
        <f t="shared" si="13"/>
        <v>52</v>
      </c>
      <c r="B61" s="152" t="s">
        <v>137</v>
      </c>
      <c r="C61" s="153" t="s">
        <v>136</v>
      </c>
      <c r="D61" s="152" t="s">
        <v>105</v>
      </c>
      <c r="E61" s="152" t="s">
        <v>85</v>
      </c>
      <c r="F61" s="152"/>
      <c r="G61" s="152"/>
      <c r="H61" s="154">
        <v>43770</v>
      </c>
      <c r="I61" s="154">
        <v>43770</v>
      </c>
      <c r="J61" s="155">
        <v>10000000</v>
      </c>
      <c r="K61" s="156">
        <v>7.7499999999999999E-2</v>
      </c>
      <c r="L61" s="157">
        <v>0.9</v>
      </c>
      <c r="M61" s="158">
        <v>1</v>
      </c>
      <c r="N61" s="157">
        <v>12</v>
      </c>
      <c r="O61" s="158">
        <f t="shared" si="3"/>
        <v>58125</v>
      </c>
      <c r="P61" s="158">
        <f t="shared" si="4"/>
        <v>6066560.6589831896</v>
      </c>
      <c r="Q61" s="158">
        <f t="shared" si="5"/>
        <v>35261.883830339786</v>
      </c>
      <c r="R61" s="158">
        <f t="shared" si="6"/>
        <v>22863.116169660214</v>
      </c>
      <c r="S61" s="159">
        <v>0.606656065898319</v>
      </c>
      <c r="T61" s="158"/>
      <c r="U61" s="157"/>
      <c r="V61" s="158">
        <f t="shared" si="1"/>
        <v>6066560.6589831896</v>
      </c>
      <c r="W61" s="158">
        <f t="shared" si="1"/>
        <v>35261.883830339786</v>
      </c>
      <c r="X61" s="160">
        <f t="shared" si="7"/>
        <v>6066560.6589831896</v>
      </c>
      <c r="Y61" s="160">
        <f t="shared" si="7"/>
        <v>35261.883830339786</v>
      </c>
      <c r="Z61" s="161"/>
      <c r="AA61" s="161"/>
      <c r="AB61" s="160">
        <f t="shared" si="14"/>
        <v>35261.883830339786</v>
      </c>
      <c r="AC61" s="162">
        <v>0</v>
      </c>
      <c r="AD61" s="162">
        <f t="shared" si="15"/>
        <v>674062.29544257664</v>
      </c>
      <c r="AE61" s="162"/>
      <c r="AF61" s="163"/>
      <c r="AG61" s="163"/>
      <c r="AH61" s="68"/>
      <c r="AI61" s="68"/>
      <c r="AJ61" s="69"/>
      <c r="AK61" s="67">
        <f t="shared" si="8"/>
        <v>35261.883830339786</v>
      </c>
      <c r="AL61" s="67"/>
      <c r="AM61" s="67"/>
      <c r="AN61" s="67"/>
      <c r="AO61" s="67">
        <f t="shared" si="9"/>
        <v>35261.883830339786</v>
      </c>
      <c r="AP61" s="164">
        <f t="shared" si="17"/>
        <v>758320.0823728987</v>
      </c>
      <c r="AQ61" s="164"/>
      <c r="AR61" s="164"/>
      <c r="AS61" s="165"/>
      <c r="AT61" s="72"/>
      <c r="AU61" s="72"/>
      <c r="AV61" s="73"/>
      <c r="AW61" s="74">
        <f t="shared" si="10"/>
        <v>758320.0823728987</v>
      </c>
      <c r="AX61" s="74">
        <f t="shared" si="11"/>
        <v>1011093.443163865</v>
      </c>
      <c r="AY61" s="150"/>
      <c r="AZ61" s="150"/>
      <c r="BA61" s="150"/>
    </row>
    <row r="62" spans="1:53" ht="25.5">
      <c r="A62" s="151">
        <f t="shared" si="13"/>
        <v>53</v>
      </c>
      <c r="B62" s="152" t="s">
        <v>137</v>
      </c>
      <c r="C62" s="153" t="s">
        <v>136</v>
      </c>
      <c r="D62" s="152" t="s">
        <v>105</v>
      </c>
      <c r="E62" s="152" t="s">
        <v>85</v>
      </c>
      <c r="F62" s="152"/>
      <c r="G62" s="152"/>
      <c r="H62" s="154">
        <v>43800</v>
      </c>
      <c r="I62" s="154">
        <v>43800</v>
      </c>
      <c r="J62" s="155">
        <v>10000000</v>
      </c>
      <c r="K62" s="156">
        <v>7.7499999999999999E-2</v>
      </c>
      <c r="L62" s="157">
        <v>0.9</v>
      </c>
      <c r="M62" s="158">
        <v>0</v>
      </c>
      <c r="N62" s="157">
        <v>12</v>
      </c>
      <c r="O62" s="158">
        <f t="shared" si="3"/>
        <v>0</v>
      </c>
      <c r="P62" s="158">
        <f t="shared" si="4"/>
        <v>6066560.6589831896</v>
      </c>
      <c r="Q62" s="158">
        <f t="shared" si="5"/>
        <v>0</v>
      </c>
      <c r="R62" s="158">
        <f t="shared" si="6"/>
        <v>0</v>
      </c>
      <c r="S62" s="159">
        <v>0.606656065898319</v>
      </c>
      <c r="T62" s="158"/>
      <c r="U62" s="157"/>
      <c r="V62" s="158">
        <f t="shared" si="1"/>
        <v>6066560.6589831896</v>
      </c>
      <c r="W62" s="158">
        <f t="shared" si="1"/>
        <v>0</v>
      </c>
      <c r="X62" s="160">
        <f t="shared" si="7"/>
        <v>6066560.6589831896</v>
      </c>
      <c r="Y62" s="160">
        <f t="shared" si="7"/>
        <v>0</v>
      </c>
      <c r="Z62" s="161"/>
      <c r="AA62" s="161"/>
      <c r="AB62" s="160">
        <f t="shared" si="14"/>
        <v>0</v>
      </c>
      <c r="AC62" s="162">
        <v>0</v>
      </c>
      <c r="AD62" s="162">
        <f t="shared" si="15"/>
        <v>0</v>
      </c>
      <c r="AE62" s="162"/>
      <c r="AF62" s="163"/>
      <c r="AG62" s="163"/>
      <c r="AH62" s="68"/>
      <c r="AI62" s="68"/>
      <c r="AJ62" s="69"/>
      <c r="AK62" s="67">
        <f t="shared" si="8"/>
        <v>0</v>
      </c>
      <c r="AL62" s="67"/>
      <c r="AM62" s="67"/>
      <c r="AN62" s="67"/>
      <c r="AO62" s="67">
        <f t="shared" si="9"/>
        <v>0</v>
      </c>
      <c r="AP62" s="164">
        <f t="shared" si="17"/>
        <v>0</v>
      </c>
      <c r="AQ62" s="164"/>
      <c r="AR62" s="164"/>
      <c r="AS62" s="165"/>
      <c r="AT62" s="72"/>
      <c r="AU62" s="72"/>
      <c r="AV62" s="73"/>
      <c r="AW62" s="74">
        <f t="shared" si="10"/>
        <v>0</v>
      </c>
      <c r="AX62" s="74">
        <f t="shared" si="11"/>
        <v>0</v>
      </c>
      <c r="AY62" s="150"/>
      <c r="AZ62" s="150"/>
      <c r="BA62" s="150"/>
    </row>
    <row r="63" spans="1:53" s="76" customFormat="1" ht="25.5">
      <c r="A63" s="54">
        <f t="shared" si="13"/>
        <v>54</v>
      </c>
      <c r="B63" s="55" t="s">
        <v>138</v>
      </c>
      <c r="C63" s="56" t="s">
        <v>139</v>
      </c>
      <c r="D63" s="55" t="s">
        <v>57</v>
      </c>
      <c r="E63" s="55" t="s">
        <v>58</v>
      </c>
      <c r="F63" s="55"/>
      <c r="G63" s="55"/>
      <c r="H63" s="58">
        <v>43770</v>
      </c>
      <c r="I63" s="58">
        <v>43770</v>
      </c>
      <c r="J63" s="60">
        <v>15000000</v>
      </c>
      <c r="K63" s="61">
        <v>7.7499999999999999E-2</v>
      </c>
      <c r="L63" s="62">
        <v>0.9</v>
      </c>
      <c r="M63" s="63">
        <v>1</v>
      </c>
      <c r="N63" s="62">
        <v>12</v>
      </c>
      <c r="O63" s="63">
        <f t="shared" si="3"/>
        <v>87187.5</v>
      </c>
      <c r="P63" s="63">
        <f t="shared" si="4"/>
        <v>9099840.9884747844</v>
      </c>
      <c r="Q63" s="63">
        <f t="shared" si="5"/>
        <v>52892.825745509683</v>
      </c>
      <c r="R63" s="63">
        <f t="shared" si="6"/>
        <v>34294.674254490317</v>
      </c>
      <c r="S63" s="64">
        <v>0.606656065898319</v>
      </c>
      <c r="T63" s="63"/>
      <c r="U63" s="62"/>
      <c r="V63" s="63">
        <f t="shared" si="1"/>
        <v>9099840.9884747844</v>
      </c>
      <c r="W63" s="63">
        <f t="shared" si="1"/>
        <v>52892.825745509683</v>
      </c>
      <c r="X63" s="65">
        <f t="shared" si="7"/>
        <v>9099840.9884747844</v>
      </c>
      <c r="Y63" s="65">
        <f t="shared" si="7"/>
        <v>52892.825745509683</v>
      </c>
      <c r="Z63" s="65"/>
      <c r="AA63" s="65"/>
      <c r="AB63" s="65">
        <f t="shared" si="14"/>
        <v>52892.825745509683</v>
      </c>
      <c r="AC63" s="66">
        <v>909984.09884747851</v>
      </c>
      <c r="AD63" s="66">
        <f t="shared" si="15"/>
        <v>1011093.443163865</v>
      </c>
      <c r="AE63" s="66"/>
      <c r="AF63" s="67"/>
      <c r="AG63" s="67"/>
      <c r="AH63" s="68"/>
      <c r="AI63" s="68"/>
      <c r="AJ63" s="69"/>
      <c r="AK63" s="67">
        <f t="shared" si="8"/>
        <v>52892.825745509683</v>
      </c>
      <c r="AL63" s="67"/>
      <c r="AM63" s="67"/>
      <c r="AN63" s="67"/>
      <c r="AO63" s="67">
        <f t="shared" si="9"/>
        <v>52892.825745509683</v>
      </c>
      <c r="AP63" s="70">
        <f t="shared" si="17"/>
        <v>1137480.1235593481</v>
      </c>
      <c r="AQ63" s="70"/>
      <c r="AR63" s="70"/>
      <c r="AS63" s="71"/>
      <c r="AT63" s="72"/>
      <c r="AU63" s="72"/>
      <c r="AV63" s="73"/>
      <c r="AW63" s="74">
        <f t="shared" si="10"/>
        <v>1137480.1235593481</v>
      </c>
      <c r="AX63" s="74">
        <f t="shared" si="11"/>
        <v>1516640.1647457974</v>
      </c>
      <c r="AY63" s="75"/>
      <c r="AZ63" s="75"/>
      <c r="BA63" s="75"/>
    </row>
    <row r="64" spans="1:53" s="222" customFormat="1" ht="25.5">
      <c r="A64" s="77">
        <f t="shared" si="13"/>
        <v>55</v>
      </c>
      <c r="B64" s="78" t="s">
        <v>140</v>
      </c>
      <c r="C64" s="79" t="s">
        <v>141</v>
      </c>
      <c r="D64" s="78" t="s">
        <v>57</v>
      </c>
      <c r="E64" s="80" t="s">
        <v>85</v>
      </c>
      <c r="F64" s="78"/>
      <c r="G64" s="78"/>
      <c r="H64" s="81">
        <v>43497</v>
      </c>
      <c r="I64" s="81">
        <v>43497</v>
      </c>
      <c r="J64" s="82">
        <v>10000000</v>
      </c>
      <c r="K64" s="117">
        <v>7.7499999999999999E-2</v>
      </c>
      <c r="L64" s="85">
        <v>0.9</v>
      </c>
      <c r="M64" s="83">
        <v>10</v>
      </c>
      <c r="N64" s="85">
        <v>12</v>
      </c>
      <c r="O64" s="83">
        <f t="shared" si="3"/>
        <v>581250</v>
      </c>
      <c r="P64" s="83">
        <f t="shared" si="4"/>
        <v>6066560.6589831896</v>
      </c>
      <c r="Q64" s="83">
        <f t="shared" si="5"/>
        <v>352618.83830339788</v>
      </c>
      <c r="R64" s="83">
        <f t="shared" si="6"/>
        <v>228631.16169660212</v>
      </c>
      <c r="S64" s="84">
        <v>0.606656065898319</v>
      </c>
      <c r="T64" s="118">
        <v>10000000</v>
      </c>
      <c r="U64" s="94">
        <v>581250</v>
      </c>
      <c r="V64" s="83">
        <f t="shared" si="1"/>
        <v>-3933439.3410168104</v>
      </c>
      <c r="W64" s="83">
        <f t="shared" si="1"/>
        <v>-228631.16169660212</v>
      </c>
      <c r="X64" s="86">
        <f t="shared" si="7"/>
        <v>-3933439.3410168104</v>
      </c>
      <c r="Y64" s="86">
        <f t="shared" si="7"/>
        <v>-228631.16169660212</v>
      </c>
      <c r="Z64" s="86"/>
      <c r="AA64" s="86"/>
      <c r="AB64" s="86">
        <f t="shared" si="14"/>
        <v>-228631.16169660212</v>
      </c>
      <c r="AC64" s="87">
        <v>-3933439.3410168113</v>
      </c>
      <c r="AD64" s="87">
        <f t="shared" si="15"/>
        <v>-4370488.1566853458</v>
      </c>
      <c r="AE64" s="87"/>
      <c r="AF64" s="88"/>
      <c r="AG64" s="88"/>
      <c r="AH64" s="88"/>
      <c r="AI64" s="88"/>
      <c r="AJ64" s="88"/>
      <c r="AK64" s="130">
        <f t="shared" si="8"/>
        <v>-228631.16169660212</v>
      </c>
      <c r="AL64" s="130"/>
      <c r="AM64" s="130"/>
      <c r="AN64" s="130"/>
      <c r="AO64" s="130">
        <f t="shared" si="9"/>
        <v>-228631.16169660212</v>
      </c>
      <c r="AP64" s="89">
        <f t="shared" si="17"/>
        <v>-4916799.1762710139</v>
      </c>
      <c r="AQ64" s="182"/>
      <c r="AR64" s="182"/>
      <c r="AS64" s="183"/>
      <c r="AT64" s="183"/>
      <c r="AU64" s="183"/>
      <c r="AV64" s="183"/>
      <c r="AW64" s="186">
        <f t="shared" si="10"/>
        <v>-4916799.1762710139</v>
      </c>
      <c r="AX64" s="223">
        <f t="shared" si="11"/>
        <v>-6555732.2350280192</v>
      </c>
      <c r="AY64" s="221"/>
      <c r="AZ64" s="221"/>
      <c r="BA64" s="221"/>
    </row>
    <row r="65" spans="1:53" s="222" customFormat="1" ht="25.5">
      <c r="A65" s="77">
        <f t="shared" si="13"/>
        <v>56</v>
      </c>
      <c r="B65" s="78" t="s">
        <v>142</v>
      </c>
      <c r="C65" s="79" t="s">
        <v>143</v>
      </c>
      <c r="D65" s="78" t="s">
        <v>57</v>
      </c>
      <c r="E65" s="80" t="s">
        <v>85</v>
      </c>
      <c r="F65" s="78"/>
      <c r="G65" s="78"/>
      <c r="H65" s="81">
        <v>43497</v>
      </c>
      <c r="I65" s="81">
        <v>43497</v>
      </c>
      <c r="J65" s="82">
        <v>5000000</v>
      </c>
      <c r="K65" s="117">
        <v>7.7499999999999999E-2</v>
      </c>
      <c r="L65" s="85">
        <v>0.9</v>
      </c>
      <c r="M65" s="83">
        <v>10</v>
      </c>
      <c r="N65" s="85">
        <v>12</v>
      </c>
      <c r="O65" s="83">
        <f t="shared" si="3"/>
        <v>290625</v>
      </c>
      <c r="P65" s="83">
        <f t="shared" si="4"/>
        <v>3033280.3294915948</v>
      </c>
      <c r="Q65" s="83">
        <f t="shared" si="5"/>
        <v>176309.41915169894</v>
      </c>
      <c r="R65" s="83">
        <f t="shared" si="6"/>
        <v>114315.58084830106</v>
      </c>
      <c r="S65" s="84">
        <v>0.606656065898319</v>
      </c>
      <c r="T65" s="118">
        <v>4000000</v>
      </c>
      <c r="U65" s="94">
        <v>232500</v>
      </c>
      <c r="V65" s="83">
        <f t="shared" si="1"/>
        <v>-966719.67050840519</v>
      </c>
      <c r="W65" s="83">
        <f t="shared" si="1"/>
        <v>-56190.580848301062</v>
      </c>
      <c r="X65" s="86">
        <f t="shared" si="7"/>
        <v>-966719.67050840519</v>
      </c>
      <c r="Y65" s="86">
        <f t="shared" si="7"/>
        <v>-56190.580848301062</v>
      </c>
      <c r="Z65" s="86"/>
      <c r="AA65" s="86"/>
      <c r="AB65" s="86">
        <f t="shared" si="14"/>
        <v>-56190.580848301062</v>
      </c>
      <c r="AC65" s="87">
        <v>-966719.67050840519</v>
      </c>
      <c r="AD65" s="87">
        <f t="shared" si="15"/>
        <v>-1074132.9672315614</v>
      </c>
      <c r="AE65" s="87"/>
      <c r="AF65" s="88"/>
      <c r="AG65" s="88"/>
      <c r="AH65" s="88"/>
      <c r="AI65" s="88"/>
      <c r="AJ65" s="88"/>
      <c r="AK65" s="130">
        <f t="shared" si="8"/>
        <v>-56190.580848301062</v>
      </c>
      <c r="AL65" s="130"/>
      <c r="AM65" s="130"/>
      <c r="AN65" s="130"/>
      <c r="AO65" s="130">
        <f t="shared" si="9"/>
        <v>-56190.580848301062</v>
      </c>
      <c r="AP65" s="89">
        <f t="shared" si="17"/>
        <v>-1208399.5881355065</v>
      </c>
      <c r="AQ65" s="182"/>
      <c r="AR65" s="182"/>
      <c r="AS65" s="183"/>
      <c r="AT65" s="183"/>
      <c r="AU65" s="183"/>
      <c r="AV65" s="183"/>
      <c r="AW65" s="186">
        <f t="shared" si="10"/>
        <v>-1208399.5881355065</v>
      </c>
      <c r="AX65" s="223">
        <f t="shared" si="11"/>
        <v>-1611199.4508473421</v>
      </c>
      <c r="AY65" s="221"/>
      <c r="AZ65" s="221"/>
      <c r="BA65" s="221"/>
    </row>
    <row r="66" spans="1:53" s="2" customFormat="1" ht="25.5">
      <c r="A66" s="97">
        <f t="shared" si="13"/>
        <v>57</v>
      </c>
      <c r="B66" s="98" t="s">
        <v>144</v>
      </c>
      <c r="C66" s="109" t="s">
        <v>145</v>
      </c>
      <c r="D66" s="98" t="s">
        <v>57</v>
      </c>
      <c r="E66" s="110" t="s">
        <v>85</v>
      </c>
      <c r="F66" s="98"/>
      <c r="G66" s="98"/>
      <c r="H66" s="100">
        <v>43466</v>
      </c>
      <c r="I66" s="58" t="s">
        <v>102</v>
      </c>
      <c r="J66" s="101">
        <v>10000000</v>
      </c>
      <c r="K66" s="111">
        <v>7.7499999999999999E-2</v>
      </c>
      <c r="L66" s="104">
        <v>0.9</v>
      </c>
      <c r="M66" s="102">
        <v>10</v>
      </c>
      <c r="N66" s="104">
        <v>12</v>
      </c>
      <c r="O66" s="102">
        <f t="shared" si="3"/>
        <v>581250</v>
      </c>
      <c r="P66" s="102">
        <f t="shared" si="4"/>
        <v>6066560.6589831896</v>
      </c>
      <c r="Q66" s="102">
        <f t="shared" si="5"/>
        <v>352618.83830339788</v>
      </c>
      <c r="R66" s="102">
        <f t="shared" si="6"/>
        <v>228631.16169660212</v>
      </c>
      <c r="S66" s="103">
        <v>0.606656065898319</v>
      </c>
      <c r="T66" s="102"/>
      <c r="U66" s="104"/>
      <c r="V66" s="102">
        <f t="shared" si="1"/>
        <v>6066560.6589831896</v>
      </c>
      <c r="W66" s="102">
        <f t="shared" si="1"/>
        <v>352618.83830339788</v>
      </c>
      <c r="X66" s="105">
        <f t="shared" si="7"/>
        <v>6066560.6589831896</v>
      </c>
      <c r="Y66" s="105">
        <f t="shared" si="7"/>
        <v>352618.83830339788</v>
      </c>
      <c r="Z66" s="105"/>
      <c r="AA66" s="105"/>
      <c r="AB66" s="105">
        <f t="shared" si="14"/>
        <v>352618.83830339788</v>
      </c>
      <c r="AC66" s="106">
        <v>6066560.6589831896</v>
      </c>
      <c r="AD66" s="106">
        <f t="shared" si="15"/>
        <v>6740622.9544257652</v>
      </c>
      <c r="AE66" s="106"/>
      <c r="AF66" s="68"/>
      <c r="AG66" s="68"/>
      <c r="AH66" s="68">
        <v>323133.59999999998</v>
      </c>
      <c r="AI66" s="68"/>
      <c r="AJ66" s="69"/>
      <c r="AK66" s="67">
        <f t="shared" si="8"/>
        <v>29485.238303397899</v>
      </c>
      <c r="AL66" s="67"/>
      <c r="AM66" s="67"/>
      <c r="AN66" s="67"/>
      <c r="AO66" s="67">
        <f t="shared" si="9"/>
        <v>29485.238303397899</v>
      </c>
      <c r="AP66" s="107">
        <f t="shared" si="17"/>
        <v>7583200.8237289861</v>
      </c>
      <c r="AQ66" s="107"/>
      <c r="AR66" s="107"/>
      <c r="AS66" s="72"/>
      <c r="AT66" s="107">
        <v>10000000</v>
      </c>
      <c r="AU66" s="107"/>
      <c r="AV66" s="113"/>
      <c r="AW66" s="74">
        <f t="shared" si="10"/>
        <v>-2416799.1762710139</v>
      </c>
      <c r="AX66" s="74">
        <f t="shared" si="11"/>
        <v>845454.86174617638</v>
      </c>
      <c r="AY66" s="108"/>
      <c r="AZ66" s="108"/>
      <c r="BA66" s="108"/>
    </row>
    <row r="67" spans="1:53" s="76" customFormat="1" ht="25.5">
      <c r="A67" s="54">
        <f t="shared" si="13"/>
        <v>58</v>
      </c>
      <c r="B67" s="55" t="s">
        <v>146</v>
      </c>
      <c r="C67" s="56" t="s">
        <v>147</v>
      </c>
      <c r="D67" s="55" t="s">
        <v>57</v>
      </c>
      <c r="E67" s="55" t="s">
        <v>58</v>
      </c>
      <c r="F67" s="55"/>
      <c r="G67" s="55"/>
      <c r="H67" s="58">
        <v>43497</v>
      </c>
      <c r="I67" s="59" t="s">
        <v>148</v>
      </c>
      <c r="J67" s="60">
        <v>15000000</v>
      </c>
      <c r="K67" s="61">
        <v>7.7499999999999999E-2</v>
      </c>
      <c r="L67" s="62">
        <v>0.9</v>
      </c>
      <c r="M67" s="63">
        <v>10</v>
      </c>
      <c r="N67" s="62">
        <v>12</v>
      </c>
      <c r="O67" s="63">
        <f t="shared" si="3"/>
        <v>871875</v>
      </c>
      <c r="P67" s="63">
        <f t="shared" si="4"/>
        <v>9099840.9884747844</v>
      </c>
      <c r="Q67" s="63">
        <f t="shared" si="5"/>
        <v>528928.25745509693</v>
      </c>
      <c r="R67" s="63">
        <f t="shared" si="6"/>
        <v>342946.74254490307</v>
      </c>
      <c r="S67" s="64">
        <v>0.606656065898319</v>
      </c>
      <c r="T67" s="63"/>
      <c r="U67" s="62"/>
      <c r="V67" s="63">
        <f t="shared" si="1"/>
        <v>9099840.9884747844</v>
      </c>
      <c r="W67" s="63">
        <f t="shared" si="1"/>
        <v>528928.25745509693</v>
      </c>
      <c r="X67" s="65">
        <f t="shared" si="7"/>
        <v>9099840.9884747844</v>
      </c>
      <c r="Y67" s="65">
        <f t="shared" si="7"/>
        <v>528928.25745509693</v>
      </c>
      <c r="Z67" s="65">
        <v>515958.9</v>
      </c>
      <c r="AA67" s="65"/>
      <c r="AB67" s="65">
        <f t="shared" si="14"/>
        <v>12969.357455096906</v>
      </c>
      <c r="AC67" s="66">
        <v>-5900159.0115252137</v>
      </c>
      <c r="AD67" s="66">
        <f t="shared" si="15"/>
        <v>247920.81156696595</v>
      </c>
      <c r="AE67" s="66"/>
      <c r="AF67" s="67"/>
      <c r="AG67" s="67"/>
      <c r="AH67" s="68"/>
      <c r="AI67" s="68"/>
      <c r="AJ67" s="69"/>
      <c r="AK67" s="67">
        <f t="shared" si="8"/>
        <v>12969.357455096906</v>
      </c>
      <c r="AL67" s="67"/>
      <c r="AM67" s="67"/>
      <c r="AN67" s="67"/>
      <c r="AO67" s="67">
        <f t="shared" si="9"/>
        <v>12969.357455096906</v>
      </c>
      <c r="AP67" s="70">
        <f t="shared" si="17"/>
        <v>278910.91301283665</v>
      </c>
      <c r="AQ67" s="70"/>
      <c r="AR67" s="70"/>
      <c r="AS67" s="71"/>
      <c r="AT67" s="72"/>
      <c r="AU67" s="72"/>
      <c r="AV67" s="73"/>
      <c r="AW67" s="74">
        <f t="shared" si="10"/>
        <v>278910.91301283665</v>
      </c>
      <c r="AX67" s="74">
        <f t="shared" si="11"/>
        <v>371881.21735044889</v>
      </c>
      <c r="AY67" s="75"/>
      <c r="AZ67" s="75"/>
      <c r="BA67" s="75"/>
    </row>
    <row r="68" spans="1:53" s="222" customFormat="1" ht="25.5">
      <c r="A68" s="77">
        <f t="shared" si="13"/>
        <v>59</v>
      </c>
      <c r="B68" s="78" t="s">
        <v>149</v>
      </c>
      <c r="C68" s="79" t="s">
        <v>150</v>
      </c>
      <c r="D68" s="78" t="s">
        <v>57</v>
      </c>
      <c r="E68" s="80" t="s">
        <v>58</v>
      </c>
      <c r="F68" s="78"/>
      <c r="G68" s="78"/>
      <c r="H68" s="81">
        <v>43525</v>
      </c>
      <c r="I68" s="81">
        <v>43525</v>
      </c>
      <c r="J68" s="82">
        <v>3000000</v>
      </c>
      <c r="K68" s="117">
        <v>7.7499999999999999E-2</v>
      </c>
      <c r="L68" s="85">
        <v>0.9</v>
      </c>
      <c r="M68" s="83">
        <v>9</v>
      </c>
      <c r="N68" s="85">
        <v>12</v>
      </c>
      <c r="O68" s="83">
        <f t="shared" si="3"/>
        <v>156937.5</v>
      </c>
      <c r="P68" s="83">
        <f t="shared" si="4"/>
        <v>1819968.197694957</v>
      </c>
      <c r="Q68" s="83">
        <f t="shared" si="5"/>
        <v>95207.086341917442</v>
      </c>
      <c r="R68" s="83">
        <f t="shared" si="6"/>
        <v>61730.413658082558</v>
      </c>
      <c r="S68" s="84">
        <v>0.606656065898319</v>
      </c>
      <c r="T68" s="118">
        <v>3000000</v>
      </c>
      <c r="U68" s="94">
        <v>174375</v>
      </c>
      <c r="V68" s="83">
        <f t="shared" si="1"/>
        <v>-1180031.802305043</v>
      </c>
      <c r="W68" s="83">
        <f t="shared" si="1"/>
        <v>-79167.913658082558</v>
      </c>
      <c r="X68" s="86">
        <f t="shared" si="7"/>
        <v>-1180031.802305043</v>
      </c>
      <c r="Y68" s="86">
        <f t="shared" si="7"/>
        <v>-79167.913658082558</v>
      </c>
      <c r="Z68" s="86"/>
      <c r="AA68" s="86"/>
      <c r="AB68" s="86">
        <f t="shared" si="14"/>
        <v>-79167.913658082558</v>
      </c>
      <c r="AC68" s="87">
        <v>-1362028.6220745388</v>
      </c>
      <c r="AD68" s="87">
        <f t="shared" si="15"/>
        <v>-1513365.1356383762</v>
      </c>
      <c r="AE68" s="87"/>
      <c r="AF68" s="88"/>
      <c r="AG68" s="88"/>
      <c r="AH68" s="88"/>
      <c r="AI68" s="88"/>
      <c r="AJ68" s="88"/>
      <c r="AK68" s="130">
        <f t="shared" si="8"/>
        <v>-79167.913658082558</v>
      </c>
      <c r="AL68" s="130"/>
      <c r="AM68" s="130"/>
      <c r="AN68" s="130"/>
      <c r="AO68" s="130">
        <f t="shared" si="9"/>
        <v>-79167.913658082558</v>
      </c>
      <c r="AP68" s="89">
        <f t="shared" si="17"/>
        <v>-1702535.7775931736</v>
      </c>
      <c r="AQ68" s="182"/>
      <c r="AR68" s="182"/>
      <c r="AS68" s="183"/>
      <c r="AT68" s="183"/>
      <c r="AU68" s="183"/>
      <c r="AV68" s="183"/>
      <c r="AW68" s="186">
        <f t="shared" si="10"/>
        <v>-1702535.7775931736</v>
      </c>
      <c r="AX68" s="223">
        <f t="shared" si="11"/>
        <v>-2270047.7034575646</v>
      </c>
      <c r="AY68" s="221"/>
      <c r="AZ68" s="221"/>
      <c r="BA68" s="221"/>
    </row>
    <row r="69" spans="1:53" s="222" customFormat="1" ht="25.5">
      <c r="A69" s="77">
        <f t="shared" si="13"/>
        <v>60</v>
      </c>
      <c r="B69" s="78" t="s">
        <v>151</v>
      </c>
      <c r="C69" s="79" t="s">
        <v>152</v>
      </c>
      <c r="D69" s="78" t="s">
        <v>57</v>
      </c>
      <c r="E69" s="80" t="s">
        <v>58</v>
      </c>
      <c r="F69" s="78"/>
      <c r="G69" s="78"/>
      <c r="H69" s="81">
        <v>43525</v>
      </c>
      <c r="I69" s="81">
        <v>43525</v>
      </c>
      <c r="J69" s="82">
        <v>3000000</v>
      </c>
      <c r="K69" s="117">
        <v>7.7499999999999999E-2</v>
      </c>
      <c r="L69" s="85">
        <v>0.9</v>
      </c>
      <c r="M69" s="83">
        <v>9</v>
      </c>
      <c r="N69" s="85">
        <v>12</v>
      </c>
      <c r="O69" s="83">
        <f t="shared" si="3"/>
        <v>156937.5</v>
      </c>
      <c r="P69" s="83">
        <f t="shared" si="4"/>
        <v>1819968.197694957</v>
      </c>
      <c r="Q69" s="83">
        <f t="shared" si="5"/>
        <v>95207.086341917442</v>
      </c>
      <c r="R69" s="83">
        <f t="shared" si="6"/>
        <v>61730.413658082558</v>
      </c>
      <c r="S69" s="84">
        <v>0.606656065898319</v>
      </c>
      <c r="T69" s="83"/>
      <c r="U69" s="85"/>
      <c r="V69" s="83">
        <f t="shared" si="1"/>
        <v>1819968.197694957</v>
      </c>
      <c r="W69" s="83">
        <f t="shared" si="1"/>
        <v>95207.086341917442</v>
      </c>
      <c r="X69" s="86">
        <f t="shared" si="7"/>
        <v>1819968.197694957</v>
      </c>
      <c r="Y69" s="86">
        <f t="shared" si="7"/>
        <v>95207.086341917442</v>
      </c>
      <c r="Z69" s="86">
        <v>94936.44</v>
      </c>
      <c r="AA69" s="86"/>
      <c r="AB69" s="86">
        <f t="shared" si="14"/>
        <v>270.64634191743971</v>
      </c>
      <c r="AC69" s="87">
        <v>-1162028.6220745386</v>
      </c>
      <c r="AD69" s="87">
        <f t="shared" si="15"/>
        <v>5173.645723630867</v>
      </c>
      <c r="AE69" s="87"/>
      <c r="AF69" s="88"/>
      <c r="AG69" s="88"/>
      <c r="AH69" s="88"/>
      <c r="AI69" s="88"/>
      <c r="AJ69" s="88"/>
      <c r="AK69" s="130">
        <f t="shared" si="8"/>
        <v>270.64634191743971</v>
      </c>
      <c r="AL69" s="130"/>
      <c r="AM69" s="130"/>
      <c r="AN69" s="130"/>
      <c r="AO69" s="130">
        <f t="shared" si="9"/>
        <v>270.64634191743971</v>
      </c>
      <c r="AP69" s="119">
        <f t="shared" si="17"/>
        <v>5820.3514390847249</v>
      </c>
      <c r="AQ69" s="182"/>
      <c r="AR69" s="182"/>
      <c r="AS69" s="183"/>
      <c r="AT69" s="183"/>
      <c r="AU69" s="183"/>
      <c r="AV69" s="183"/>
      <c r="AW69" s="186">
        <f t="shared" si="10"/>
        <v>5820.3514390847249</v>
      </c>
      <c r="AX69" s="186">
        <f t="shared" si="11"/>
        <v>7760.4685854462987</v>
      </c>
      <c r="AY69" s="221"/>
      <c r="AZ69" s="221"/>
      <c r="BA69" s="221"/>
    </row>
    <row r="70" spans="1:53" s="222" customFormat="1" ht="25.5">
      <c r="A70" s="77">
        <f t="shared" si="13"/>
        <v>61</v>
      </c>
      <c r="B70" s="78" t="s">
        <v>153</v>
      </c>
      <c r="C70" s="79" t="s">
        <v>154</v>
      </c>
      <c r="D70" s="78" t="s">
        <v>105</v>
      </c>
      <c r="E70" s="80" t="s">
        <v>85</v>
      </c>
      <c r="F70" s="78"/>
      <c r="G70" s="78"/>
      <c r="H70" s="81">
        <v>43497</v>
      </c>
      <c r="I70" s="81">
        <v>43497</v>
      </c>
      <c r="J70" s="82">
        <v>30000000</v>
      </c>
      <c r="K70" s="117">
        <v>7.7499999999999999E-2</v>
      </c>
      <c r="L70" s="85">
        <v>0.9</v>
      </c>
      <c r="M70" s="83">
        <v>10</v>
      </c>
      <c r="N70" s="85">
        <v>12</v>
      </c>
      <c r="O70" s="83">
        <f t="shared" si="3"/>
        <v>1743750</v>
      </c>
      <c r="P70" s="83">
        <f t="shared" si="4"/>
        <v>18199681.976949569</v>
      </c>
      <c r="Q70" s="83">
        <f t="shared" si="5"/>
        <v>1057856.5149101939</v>
      </c>
      <c r="R70" s="83">
        <f t="shared" si="6"/>
        <v>685893.48508980614</v>
      </c>
      <c r="S70" s="84">
        <v>0.606656065898319</v>
      </c>
      <c r="T70" s="83"/>
      <c r="U70" s="85"/>
      <c r="V70" s="83">
        <f t="shared" si="1"/>
        <v>18199681.976949569</v>
      </c>
      <c r="W70" s="83">
        <f t="shared" si="1"/>
        <v>1057856.5149101939</v>
      </c>
      <c r="X70" s="86">
        <f t="shared" si="7"/>
        <v>18199681.976949569</v>
      </c>
      <c r="Y70" s="86">
        <f t="shared" si="7"/>
        <v>1057856.5149101939</v>
      </c>
      <c r="Z70" s="86">
        <f>1743749.99-Z71</f>
        <v>1057856.51</v>
      </c>
      <c r="AA70" s="86"/>
      <c r="AB70" s="86">
        <f t="shared" si="14"/>
        <v>4.9101938493549824E-3</v>
      </c>
      <c r="AC70" s="87">
        <v>3062755.5914583802</v>
      </c>
      <c r="AD70" s="87">
        <f t="shared" si="15"/>
        <v>9.3862725913595846E-2</v>
      </c>
      <c r="AE70" s="87"/>
      <c r="AF70" s="88"/>
      <c r="AG70" s="88"/>
      <c r="AH70" s="88"/>
      <c r="AI70" s="88"/>
      <c r="AJ70" s="88"/>
      <c r="AK70" s="130">
        <f t="shared" si="8"/>
        <v>4.9101938493549824E-3</v>
      </c>
      <c r="AL70" s="130"/>
      <c r="AM70" s="130"/>
      <c r="AN70" s="130"/>
      <c r="AO70" s="130">
        <f t="shared" si="9"/>
        <v>4.9101938493549824E-3</v>
      </c>
      <c r="AP70" s="119">
        <f t="shared" si="17"/>
        <v>0.10559556665279532</v>
      </c>
      <c r="AQ70" s="182"/>
      <c r="AR70" s="182"/>
      <c r="AS70" s="183"/>
      <c r="AT70" s="183"/>
      <c r="AU70" s="183"/>
      <c r="AV70" s="183"/>
      <c r="AW70" s="186">
        <f t="shared" si="10"/>
        <v>0.10559556665279532</v>
      </c>
      <c r="AX70" s="186">
        <f t="shared" si="11"/>
        <v>0.14079408887039377</v>
      </c>
      <c r="AY70" s="221"/>
      <c r="AZ70" s="221"/>
      <c r="BA70" s="221"/>
    </row>
    <row r="71" spans="1:53" s="2" customFormat="1" ht="25.5">
      <c r="A71" s="97">
        <f t="shared" si="13"/>
        <v>62</v>
      </c>
      <c r="B71" s="98" t="s">
        <v>153</v>
      </c>
      <c r="C71" s="109" t="s">
        <v>155</v>
      </c>
      <c r="D71" s="98" t="s">
        <v>105</v>
      </c>
      <c r="E71" s="110" t="s">
        <v>85</v>
      </c>
      <c r="F71" s="98"/>
      <c r="G71" s="98"/>
      <c r="H71" s="100">
        <v>43586</v>
      </c>
      <c r="I71" s="100">
        <v>43586</v>
      </c>
      <c r="J71" s="101">
        <v>35000000</v>
      </c>
      <c r="K71" s="111">
        <v>7.7499999999999999E-2</v>
      </c>
      <c r="L71" s="104">
        <v>0.9</v>
      </c>
      <c r="M71" s="102">
        <v>7</v>
      </c>
      <c r="N71" s="104">
        <v>12</v>
      </c>
      <c r="O71" s="102">
        <f t="shared" si="3"/>
        <v>1424062.5</v>
      </c>
      <c r="P71" s="102">
        <f t="shared" si="4"/>
        <v>21232962.306441166</v>
      </c>
      <c r="Q71" s="102">
        <f t="shared" si="5"/>
        <v>863916.15384332498</v>
      </c>
      <c r="R71" s="102">
        <f t="shared" si="6"/>
        <v>560146.34615667502</v>
      </c>
      <c r="S71" s="103">
        <v>0.606656065898319</v>
      </c>
      <c r="T71" s="102"/>
      <c r="U71" s="104"/>
      <c r="V71" s="102">
        <f t="shared" si="1"/>
        <v>21232962.306441166</v>
      </c>
      <c r="W71" s="102">
        <f t="shared" si="1"/>
        <v>863916.15384332498</v>
      </c>
      <c r="X71" s="105">
        <f t="shared" si="7"/>
        <v>21232962.306441166</v>
      </c>
      <c r="Y71" s="105">
        <f t="shared" si="7"/>
        <v>863916.15384332498</v>
      </c>
      <c r="Z71" s="112">
        <v>685893.48</v>
      </c>
      <c r="AA71" s="112"/>
      <c r="AB71" s="105">
        <f t="shared" si="14"/>
        <v>178022.673843325</v>
      </c>
      <c r="AC71" s="106">
        <v>0</v>
      </c>
      <c r="AD71" s="106">
        <f t="shared" si="15"/>
        <v>3403061.8655832731</v>
      </c>
      <c r="AE71" s="106"/>
      <c r="AF71" s="68"/>
      <c r="AG71" s="68"/>
      <c r="AH71" s="68"/>
      <c r="AI71" s="68"/>
      <c r="AJ71" s="69"/>
      <c r="AK71" s="67">
        <f t="shared" si="8"/>
        <v>178022.673843325</v>
      </c>
      <c r="AL71" s="67"/>
      <c r="AM71" s="67"/>
      <c r="AN71" s="67"/>
      <c r="AO71" s="67">
        <f t="shared" si="9"/>
        <v>178022.673843325</v>
      </c>
      <c r="AP71" s="107">
        <f t="shared" si="17"/>
        <v>3828444.5987811824</v>
      </c>
      <c r="AQ71" s="107"/>
      <c r="AR71" s="107"/>
      <c r="AS71" s="72"/>
      <c r="AT71" s="72"/>
      <c r="AU71" s="72"/>
      <c r="AV71" s="73"/>
      <c r="AW71" s="74">
        <f t="shared" si="10"/>
        <v>3828444.5987811824</v>
      </c>
      <c r="AX71" s="74">
        <f t="shared" si="11"/>
        <v>5104592.7983749099</v>
      </c>
      <c r="AY71" s="108"/>
      <c r="AZ71" s="108"/>
      <c r="BA71" s="108"/>
    </row>
    <row r="72" spans="1:53" s="222" customFormat="1" ht="25.5">
      <c r="A72" s="77">
        <f t="shared" si="13"/>
        <v>63</v>
      </c>
      <c r="B72" s="78" t="s">
        <v>156</v>
      </c>
      <c r="C72" s="79" t="s">
        <v>157</v>
      </c>
      <c r="D72" s="78" t="s">
        <v>57</v>
      </c>
      <c r="E72" s="80" t="s">
        <v>85</v>
      </c>
      <c r="F72" s="78"/>
      <c r="G72" s="78"/>
      <c r="H72" s="81">
        <v>43497</v>
      </c>
      <c r="I72" s="81">
        <v>43497</v>
      </c>
      <c r="J72" s="82">
        <v>12000000</v>
      </c>
      <c r="K72" s="117">
        <v>7.7499999999999999E-2</v>
      </c>
      <c r="L72" s="85">
        <v>0.9</v>
      </c>
      <c r="M72" s="83">
        <v>10</v>
      </c>
      <c r="N72" s="85">
        <v>12</v>
      </c>
      <c r="O72" s="83">
        <f t="shared" si="3"/>
        <v>697500</v>
      </c>
      <c r="P72" s="83">
        <f t="shared" si="4"/>
        <v>7279872.7907798281</v>
      </c>
      <c r="Q72" s="83">
        <f t="shared" si="5"/>
        <v>423142.60596407746</v>
      </c>
      <c r="R72" s="83">
        <f t="shared" si="6"/>
        <v>274357.39403592254</v>
      </c>
      <c r="S72" s="84">
        <v>0.606656065898319</v>
      </c>
      <c r="T72" s="83"/>
      <c r="U72" s="85"/>
      <c r="V72" s="83">
        <f t="shared" si="1"/>
        <v>7279872.7907798281</v>
      </c>
      <c r="W72" s="83">
        <f t="shared" si="1"/>
        <v>423142.60596407746</v>
      </c>
      <c r="X72" s="86">
        <f t="shared" si="7"/>
        <v>7279872.7907798281</v>
      </c>
      <c r="Y72" s="86">
        <f t="shared" si="7"/>
        <v>423142.60596407746</v>
      </c>
      <c r="Z72" s="86">
        <f>871874.98-Z73-Z74</f>
        <v>423142.61</v>
      </c>
      <c r="AA72" s="86"/>
      <c r="AB72" s="86">
        <f t="shared" si="14"/>
        <v>-4.0359225240536034E-3</v>
      </c>
      <c r="AC72" s="87">
        <v>45070.434278307483</v>
      </c>
      <c r="AD72" s="87">
        <f t="shared" si="15"/>
        <v>-7.7150251355863383E-2</v>
      </c>
      <c r="AE72" s="87"/>
      <c r="AF72" s="88"/>
      <c r="AG72" s="88"/>
      <c r="AH72" s="88"/>
      <c r="AI72" s="88"/>
      <c r="AJ72" s="88"/>
      <c r="AK72" s="130">
        <f t="shared" si="8"/>
        <v>-4.0359225240536034E-3</v>
      </c>
      <c r="AL72" s="130"/>
      <c r="AM72" s="130"/>
      <c r="AN72" s="130"/>
      <c r="AO72" s="130">
        <f t="shared" si="9"/>
        <v>-4.0359225240536034E-3</v>
      </c>
      <c r="AP72" s="89">
        <f t="shared" si="17"/>
        <v>-8.6794032775346308E-2</v>
      </c>
      <c r="AQ72" s="182"/>
      <c r="AR72" s="182"/>
      <c r="AS72" s="183"/>
      <c r="AT72" s="183"/>
      <c r="AU72" s="183"/>
      <c r="AV72" s="183"/>
      <c r="AW72" s="186">
        <f t="shared" si="10"/>
        <v>-8.6794032775346308E-2</v>
      </c>
      <c r="AX72" s="223">
        <f t="shared" si="11"/>
        <v>-0.11572537703379507</v>
      </c>
      <c r="AY72" s="221"/>
      <c r="AZ72" s="221"/>
      <c r="BA72" s="221"/>
    </row>
    <row r="73" spans="1:53" ht="25.5">
      <c r="A73" s="151">
        <f t="shared" si="13"/>
        <v>64</v>
      </c>
      <c r="B73" s="152" t="s">
        <v>156</v>
      </c>
      <c r="C73" s="153" t="s">
        <v>157</v>
      </c>
      <c r="D73" s="152" t="s">
        <v>105</v>
      </c>
      <c r="E73" s="152" t="s">
        <v>85</v>
      </c>
      <c r="F73" s="152"/>
      <c r="G73" s="152"/>
      <c r="H73" s="154">
        <v>43525</v>
      </c>
      <c r="I73" s="154">
        <v>43525</v>
      </c>
      <c r="J73" s="155">
        <v>12000000</v>
      </c>
      <c r="K73" s="156">
        <v>7.7499999999999999E-2</v>
      </c>
      <c r="L73" s="157">
        <v>0.9</v>
      </c>
      <c r="M73" s="158">
        <v>9</v>
      </c>
      <c r="N73" s="157">
        <v>12</v>
      </c>
      <c r="O73" s="158">
        <f t="shared" si="3"/>
        <v>627750</v>
      </c>
      <c r="P73" s="158">
        <f t="shared" si="4"/>
        <v>7279872.7907798281</v>
      </c>
      <c r="Q73" s="158">
        <f t="shared" si="5"/>
        <v>380828.34536766977</v>
      </c>
      <c r="R73" s="158">
        <f t="shared" si="6"/>
        <v>246921.65463233023</v>
      </c>
      <c r="S73" s="159">
        <v>0.606656065898319</v>
      </c>
      <c r="T73" s="158"/>
      <c r="U73" s="157"/>
      <c r="V73" s="158">
        <f t="shared" si="1"/>
        <v>7279872.7907798281</v>
      </c>
      <c r="W73" s="158">
        <f t="shared" si="1"/>
        <v>380828.34536766977</v>
      </c>
      <c r="X73" s="160">
        <f t="shared" si="7"/>
        <v>7279872.7907798281</v>
      </c>
      <c r="Y73" s="160">
        <f t="shared" si="7"/>
        <v>380828.34536766977</v>
      </c>
      <c r="Z73" s="161">
        <v>378208.6</v>
      </c>
      <c r="AA73" s="161"/>
      <c r="AB73" s="160">
        <f t="shared" si="14"/>
        <v>2619.7453676697914</v>
      </c>
      <c r="AC73" s="162">
        <v>0</v>
      </c>
      <c r="AD73" s="162">
        <f t="shared" si="15"/>
        <v>50078.764495479889</v>
      </c>
      <c r="AE73" s="162"/>
      <c r="AF73" s="163"/>
      <c r="AG73" s="163"/>
      <c r="AH73" s="68"/>
      <c r="AI73" s="68"/>
      <c r="AJ73" s="69"/>
      <c r="AK73" s="67">
        <f t="shared" si="8"/>
        <v>2619.7453676697914</v>
      </c>
      <c r="AL73" s="67"/>
      <c r="AM73" s="67"/>
      <c r="AN73" s="67"/>
      <c r="AO73" s="67">
        <f t="shared" ref="AO73:AO136" si="19">AK73-AL73-AM73-AN73</f>
        <v>2619.7453676697914</v>
      </c>
      <c r="AP73" s="164">
        <f t="shared" si="17"/>
        <v>56338.610057414873</v>
      </c>
      <c r="AQ73" s="164"/>
      <c r="AR73" s="164"/>
      <c r="AS73" s="165"/>
      <c r="AT73" s="72"/>
      <c r="AU73" s="72"/>
      <c r="AV73" s="73"/>
      <c r="AW73" s="74">
        <f t="shared" si="10"/>
        <v>56338.610057414873</v>
      </c>
      <c r="AX73" s="74">
        <f t="shared" ref="AX73:AX136" si="20">AO73/K73/L73/6*N73</f>
        <v>75118.146743219826</v>
      </c>
      <c r="AY73" s="150"/>
      <c r="AZ73" s="150"/>
      <c r="BA73" s="150"/>
    </row>
    <row r="74" spans="1:53" s="222" customFormat="1" ht="25.5">
      <c r="A74" s="77">
        <f t="shared" si="13"/>
        <v>65</v>
      </c>
      <c r="B74" s="78" t="s">
        <v>156</v>
      </c>
      <c r="C74" s="79" t="s">
        <v>157</v>
      </c>
      <c r="D74" s="78" t="s">
        <v>57</v>
      </c>
      <c r="E74" s="80" t="s">
        <v>85</v>
      </c>
      <c r="F74" s="78"/>
      <c r="G74" s="78"/>
      <c r="H74" s="81">
        <v>43739</v>
      </c>
      <c r="I74" s="81">
        <v>43739</v>
      </c>
      <c r="J74" s="82">
        <v>10000000</v>
      </c>
      <c r="K74" s="117">
        <v>7.7499999999999999E-2</v>
      </c>
      <c r="L74" s="85">
        <v>0.9</v>
      </c>
      <c r="M74" s="83">
        <v>2</v>
      </c>
      <c r="N74" s="85">
        <v>12</v>
      </c>
      <c r="O74" s="83">
        <f t="shared" si="3"/>
        <v>116250</v>
      </c>
      <c r="P74" s="83">
        <f t="shared" si="4"/>
        <v>6066560.6589831896</v>
      </c>
      <c r="Q74" s="83">
        <f t="shared" si="5"/>
        <v>70523.767660679572</v>
      </c>
      <c r="R74" s="83">
        <f t="shared" si="6"/>
        <v>45726.232339320428</v>
      </c>
      <c r="S74" s="84">
        <v>0.606656065898319</v>
      </c>
      <c r="T74" s="83"/>
      <c r="U74" s="85"/>
      <c r="V74" s="83">
        <f t="shared" ref="V74:W138" si="21">P74-T74</f>
        <v>6066560.6589831896</v>
      </c>
      <c r="W74" s="83">
        <f t="shared" si="21"/>
        <v>70523.767660679572</v>
      </c>
      <c r="X74" s="86">
        <f t="shared" ref="X74:Y138" si="22">SUM(V74)</f>
        <v>6066560.6589831896</v>
      </c>
      <c r="Y74" s="86">
        <f t="shared" si="22"/>
        <v>70523.767660679572</v>
      </c>
      <c r="Z74" s="93">
        <v>70523.77</v>
      </c>
      <c r="AA74" s="93"/>
      <c r="AB74" s="86">
        <f t="shared" si="14"/>
        <v>-2.3393204319290817E-3</v>
      </c>
      <c r="AC74" s="87">
        <v>0</v>
      </c>
      <c r="AD74" s="87">
        <f t="shared" si="15"/>
        <v>-4.4718192247150901E-2</v>
      </c>
      <c r="AE74" s="87"/>
      <c r="AF74" s="88"/>
      <c r="AG74" s="88"/>
      <c r="AH74" s="88"/>
      <c r="AI74" s="88"/>
      <c r="AJ74" s="88"/>
      <c r="AK74" s="130">
        <f t="shared" ref="AK74:AK137" si="23">AB74+AF74-AE74-AG74-AH74-AI74-AJ74</f>
        <v>-2.3393204319290817E-3</v>
      </c>
      <c r="AL74" s="130"/>
      <c r="AM74" s="130"/>
      <c r="AN74" s="130"/>
      <c r="AO74" s="130">
        <f t="shared" si="19"/>
        <v>-2.3393204319290817E-3</v>
      </c>
      <c r="AP74" s="89">
        <f t="shared" si="17"/>
        <v>-5.0307966278044763E-2</v>
      </c>
      <c r="AQ74" s="182"/>
      <c r="AR74" s="182"/>
      <c r="AS74" s="183"/>
      <c r="AT74" s="183"/>
      <c r="AU74" s="183"/>
      <c r="AV74" s="183"/>
      <c r="AW74" s="186">
        <f t="shared" ref="AW74:AW137" si="24">AP74-AQ74+AR74-AS74-AT74-AU74-AV74</f>
        <v>-5.0307966278044763E-2</v>
      </c>
      <c r="AX74" s="223">
        <f t="shared" si="20"/>
        <v>-6.7077288370726351E-2</v>
      </c>
      <c r="AY74" s="221"/>
      <c r="AZ74" s="221"/>
      <c r="BA74" s="221"/>
    </row>
    <row r="75" spans="1:53" s="76" customFormat="1" ht="25.5">
      <c r="A75" s="54">
        <f t="shared" ref="A75:A138" si="25">A74+1</f>
        <v>66</v>
      </c>
      <c r="B75" s="55" t="s">
        <v>158</v>
      </c>
      <c r="C75" s="56" t="s">
        <v>159</v>
      </c>
      <c r="D75" s="55" t="s">
        <v>57</v>
      </c>
      <c r="E75" s="55" t="s">
        <v>58</v>
      </c>
      <c r="F75" s="55"/>
      <c r="G75" s="55"/>
      <c r="H75" s="58">
        <v>43497</v>
      </c>
      <c r="I75" s="59" t="s">
        <v>81</v>
      </c>
      <c r="J75" s="60">
        <v>25000000</v>
      </c>
      <c r="K75" s="61">
        <v>7.7499999999999999E-2</v>
      </c>
      <c r="L75" s="62">
        <v>0.9</v>
      </c>
      <c r="M75" s="63">
        <v>10</v>
      </c>
      <c r="N75" s="62">
        <v>12</v>
      </c>
      <c r="O75" s="63">
        <f t="shared" ref="O75:O139" si="26">J75*K75*L75*M75/N75</f>
        <v>1453125</v>
      </c>
      <c r="P75" s="63">
        <f t="shared" ref="P75:P139" si="27">J75*0.606656065898319</f>
        <v>15166401.647457974</v>
      </c>
      <c r="Q75" s="63">
        <f t="shared" ref="Q75:Q139" si="28">P75*K75*L75*M75/N75</f>
        <v>881547.09575849457</v>
      </c>
      <c r="R75" s="63">
        <f t="shared" ref="R75:R139" si="29">O75-Q75</f>
        <v>571577.90424150543</v>
      </c>
      <c r="S75" s="64">
        <v>0.606656065898319</v>
      </c>
      <c r="T75" s="63"/>
      <c r="U75" s="62"/>
      <c r="V75" s="63">
        <f t="shared" si="21"/>
        <v>15166401.647457974</v>
      </c>
      <c r="W75" s="63">
        <f t="shared" si="21"/>
        <v>881547.09575849457</v>
      </c>
      <c r="X75" s="65">
        <f t="shared" si="22"/>
        <v>15166401.647457974</v>
      </c>
      <c r="Y75" s="65">
        <f t="shared" si="22"/>
        <v>881547.09575849457</v>
      </c>
      <c r="Z75" s="65">
        <v>871875</v>
      </c>
      <c r="AA75" s="65"/>
      <c r="AB75" s="65">
        <f t="shared" si="14"/>
        <v>9672.0957584945718</v>
      </c>
      <c r="AC75" s="66">
        <v>166401.64745797031</v>
      </c>
      <c r="AD75" s="66">
        <f t="shared" si="15"/>
        <v>184890.71939774568</v>
      </c>
      <c r="AE75" s="66"/>
      <c r="AF75" s="67"/>
      <c r="AG75" s="67"/>
      <c r="AH75" s="68"/>
      <c r="AI75" s="68"/>
      <c r="AJ75" s="69"/>
      <c r="AK75" s="67">
        <f t="shared" si="23"/>
        <v>9672.0957584945718</v>
      </c>
      <c r="AL75" s="67"/>
      <c r="AM75" s="67"/>
      <c r="AN75" s="67"/>
      <c r="AO75" s="67">
        <f t="shared" si="19"/>
        <v>9672.0957584945718</v>
      </c>
      <c r="AP75" s="70">
        <f t="shared" si="17"/>
        <v>208002.05932246387</v>
      </c>
      <c r="AQ75" s="70"/>
      <c r="AR75" s="70"/>
      <c r="AS75" s="71"/>
      <c r="AT75" s="72"/>
      <c r="AU75" s="72"/>
      <c r="AV75" s="73"/>
      <c r="AW75" s="74">
        <f t="shared" si="24"/>
        <v>208002.05932246387</v>
      </c>
      <c r="AX75" s="74">
        <f t="shared" si="20"/>
        <v>277336.07909661852</v>
      </c>
      <c r="AY75" s="75"/>
      <c r="AZ75" s="75"/>
      <c r="BA75" s="75"/>
    </row>
    <row r="76" spans="1:53" s="230" customFormat="1" ht="25.5">
      <c r="A76" s="120">
        <f t="shared" si="25"/>
        <v>67</v>
      </c>
      <c r="B76" s="80" t="s">
        <v>160</v>
      </c>
      <c r="C76" s="121" t="s">
        <v>161</v>
      </c>
      <c r="D76" s="80" t="s">
        <v>57</v>
      </c>
      <c r="E76" s="80" t="s">
        <v>58</v>
      </c>
      <c r="F76" s="80"/>
      <c r="G76" s="80"/>
      <c r="H76" s="122">
        <v>43497</v>
      </c>
      <c r="I76" s="122" t="s">
        <v>59</v>
      </c>
      <c r="J76" s="123">
        <v>130000000</v>
      </c>
      <c r="K76" s="124">
        <v>7.7499999999999999E-2</v>
      </c>
      <c r="L76" s="125">
        <v>0.9</v>
      </c>
      <c r="M76" s="126">
        <v>10</v>
      </c>
      <c r="N76" s="125">
        <v>12</v>
      </c>
      <c r="O76" s="126">
        <f t="shared" si="26"/>
        <v>7556250</v>
      </c>
      <c r="P76" s="126">
        <f t="shared" si="27"/>
        <v>78865288.566781476</v>
      </c>
      <c r="Q76" s="126">
        <f t="shared" si="28"/>
        <v>4584044.8979441728</v>
      </c>
      <c r="R76" s="126">
        <f t="shared" si="29"/>
        <v>2972205.1020558272</v>
      </c>
      <c r="S76" s="127">
        <v>0.606656065898319</v>
      </c>
      <c r="T76" s="233">
        <v>50000000</v>
      </c>
      <c r="U76" s="234">
        <v>2906250</v>
      </c>
      <c r="V76" s="126">
        <f t="shared" si="21"/>
        <v>28865288.566781476</v>
      </c>
      <c r="W76" s="126">
        <f t="shared" si="21"/>
        <v>1677794.8979441728</v>
      </c>
      <c r="X76" s="128">
        <f t="shared" si="22"/>
        <v>28865288.566781476</v>
      </c>
      <c r="Y76" s="128">
        <f t="shared" si="22"/>
        <v>1677794.8979441728</v>
      </c>
      <c r="Z76" s="128"/>
      <c r="AA76" s="128"/>
      <c r="AB76" s="128">
        <f t="shared" si="14"/>
        <v>1677794.8979441728</v>
      </c>
      <c r="AC76" s="129">
        <v>40998409.884747848</v>
      </c>
      <c r="AD76" s="129">
        <f t="shared" si="15"/>
        <v>32072542.851979405</v>
      </c>
      <c r="AE76" s="129"/>
      <c r="AF76" s="130"/>
      <c r="AG76" s="130"/>
      <c r="AH76" s="130"/>
      <c r="AI76" s="130"/>
      <c r="AJ76" s="130"/>
      <c r="AK76" s="130">
        <f t="shared" si="23"/>
        <v>1677794.8979441728</v>
      </c>
      <c r="AL76" s="130"/>
      <c r="AM76" s="235">
        <v>1677794.9</v>
      </c>
      <c r="AN76" s="236"/>
      <c r="AO76" s="130">
        <f t="shared" si="19"/>
        <v>-2.0558270625770092E-3</v>
      </c>
      <c r="AP76" s="119">
        <f t="shared" si="17"/>
        <v>36081610.708476827</v>
      </c>
      <c r="AQ76" s="119"/>
      <c r="AR76" s="119"/>
      <c r="AS76" s="185"/>
      <c r="AT76" s="185"/>
      <c r="AU76" s="185"/>
      <c r="AV76" s="185"/>
      <c r="AW76" s="186">
        <f t="shared" si="24"/>
        <v>36081610.708476827</v>
      </c>
      <c r="AX76" s="223">
        <f t="shared" si="20"/>
        <v>-5.8948446238767285E-2</v>
      </c>
      <c r="AY76" s="229"/>
      <c r="AZ76" s="237">
        <f>AM76/7.75%/0.9/6*12</f>
        <v>48108814.336917557</v>
      </c>
      <c r="BA76" s="229"/>
    </row>
    <row r="77" spans="1:53" s="76" customFormat="1" ht="25.5">
      <c r="A77" s="54">
        <f t="shared" si="25"/>
        <v>68</v>
      </c>
      <c r="B77" s="55" t="s">
        <v>160</v>
      </c>
      <c r="C77" s="56" t="s">
        <v>161</v>
      </c>
      <c r="D77" s="169" t="s">
        <v>162</v>
      </c>
      <c r="E77" s="55" t="s">
        <v>58</v>
      </c>
      <c r="F77" s="55"/>
      <c r="G77" s="55"/>
      <c r="H77" s="58">
        <v>43497</v>
      </c>
      <c r="I77" s="59" t="s">
        <v>59</v>
      </c>
      <c r="J77" s="60">
        <v>20000000</v>
      </c>
      <c r="K77" s="61">
        <v>7.7499999999999999E-2</v>
      </c>
      <c r="L77" s="62">
        <v>0.9</v>
      </c>
      <c r="M77" s="63">
        <v>10</v>
      </c>
      <c r="N77" s="62">
        <v>12</v>
      </c>
      <c r="O77" s="63">
        <f t="shared" si="26"/>
        <v>1162500</v>
      </c>
      <c r="P77" s="63">
        <f t="shared" si="27"/>
        <v>12133121.317966379</v>
      </c>
      <c r="Q77" s="63">
        <f t="shared" si="28"/>
        <v>705237.67660679575</v>
      </c>
      <c r="R77" s="63">
        <f t="shared" si="29"/>
        <v>457262.32339320425</v>
      </c>
      <c r="S77" s="64">
        <v>0.606656065898319</v>
      </c>
      <c r="T77" s="166"/>
      <c r="U77" s="167"/>
      <c r="V77" s="63">
        <f t="shared" si="21"/>
        <v>12133121.317966379</v>
      </c>
      <c r="W77" s="63">
        <f t="shared" si="21"/>
        <v>705237.67660679575</v>
      </c>
      <c r="X77" s="65">
        <f t="shared" si="22"/>
        <v>12133121.317966379</v>
      </c>
      <c r="Y77" s="65">
        <f t="shared" si="22"/>
        <v>705237.67660679575</v>
      </c>
      <c r="Z77" s="65"/>
      <c r="AA77" s="65"/>
      <c r="AB77" s="65">
        <f>Y77-Z77-AA77</f>
        <v>705237.67660679575</v>
      </c>
      <c r="AC77" s="66">
        <v>40998410.884747803</v>
      </c>
      <c r="AD77" s="66">
        <f t="shared" si="15"/>
        <v>13481245.90885153</v>
      </c>
      <c r="AE77" s="66"/>
      <c r="AF77" s="67"/>
      <c r="AG77" s="67"/>
      <c r="AH77" s="68"/>
      <c r="AI77" s="68"/>
      <c r="AJ77" s="69"/>
      <c r="AK77" s="67">
        <f t="shared" si="23"/>
        <v>705237.67660679575</v>
      </c>
      <c r="AL77" s="67"/>
      <c r="AM77" s="170">
        <f>1743750-1677794.9</f>
        <v>65955.100000000093</v>
      </c>
      <c r="AN77" s="171"/>
      <c r="AO77" s="67">
        <f t="shared" si="19"/>
        <v>639282.57660679566</v>
      </c>
      <c r="AP77" s="70">
        <f t="shared" si="17"/>
        <v>15166401.647457972</v>
      </c>
      <c r="AQ77" s="70"/>
      <c r="AR77" s="70"/>
      <c r="AS77" s="71"/>
      <c r="AT77" s="72"/>
      <c r="AU77" s="72"/>
      <c r="AV77" s="73"/>
      <c r="AW77" s="74">
        <f t="shared" si="24"/>
        <v>15166401.647457972</v>
      </c>
      <c r="AX77" s="74">
        <f t="shared" si="20"/>
        <v>18330683.200194858</v>
      </c>
      <c r="AY77" s="75"/>
      <c r="AZ77" s="168">
        <f>AM77/7.75%/0.9/6*12</f>
        <v>1891185.6630824399</v>
      </c>
      <c r="BA77" s="75"/>
    </row>
    <row r="78" spans="1:53" s="230" customFormat="1" ht="25.5">
      <c r="A78" s="120">
        <f>A77+1</f>
        <v>69</v>
      </c>
      <c r="B78" s="80" t="s">
        <v>163</v>
      </c>
      <c r="C78" s="121" t="s">
        <v>164</v>
      </c>
      <c r="D78" s="80" t="s">
        <v>57</v>
      </c>
      <c r="E78" s="80" t="s">
        <v>58</v>
      </c>
      <c r="F78" s="80"/>
      <c r="G78" s="80"/>
      <c r="H78" s="122">
        <v>43497</v>
      </c>
      <c r="I78" s="137" t="s">
        <v>112</v>
      </c>
      <c r="J78" s="123">
        <v>20000000</v>
      </c>
      <c r="K78" s="124">
        <v>7.7499999999999999E-2</v>
      </c>
      <c r="L78" s="125">
        <v>0.9</v>
      </c>
      <c r="M78" s="126">
        <v>10</v>
      </c>
      <c r="N78" s="125">
        <v>12</v>
      </c>
      <c r="O78" s="126">
        <f t="shared" si="26"/>
        <v>1162500</v>
      </c>
      <c r="P78" s="126">
        <f t="shared" si="27"/>
        <v>12133121.317966379</v>
      </c>
      <c r="Q78" s="126">
        <f t="shared" si="28"/>
        <v>705237.67660679575</v>
      </c>
      <c r="R78" s="126">
        <f t="shared" si="29"/>
        <v>457262.32339320425</v>
      </c>
      <c r="S78" s="127">
        <v>0.606656065898319</v>
      </c>
      <c r="T78" s="126"/>
      <c r="U78" s="125"/>
      <c r="V78" s="126">
        <f t="shared" si="21"/>
        <v>12133121.317966379</v>
      </c>
      <c r="W78" s="126">
        <f t="shared" si="21"/>
        <v>705237.67660679575</v>
      </c>
      <c r="X78" s="128">
        <f t="shared" si="22"/>
        <v>12133121.317966379</v>
      </c>
      <c r="Y78" s="128">
        <f t="shared" si="22"/>
        <v>705237.67660679575</v>
      </c>
      <c r="Z78" s="128">
        <v>663867.12</v>
      </c>
      <c r="AA78" s="128"/>
      <c r="AB78" s="128">
        <f t="shared" ref="AB78:AB141" si="30">Y78-Z78-AA78</f>
        <v>41370.556606795755</v>
      </c>
      <c r="AC78" s="129">
        <v>-2866878.6820336208</v>
      </c>
      <c r="AD78" s="129">
        <f t="shared" si="15"/>
        <v>790835.01279418403</v>
      </c>
      <c r="AE78" s="129"/>
      <c r="AF78" s="130">
        <v>-41370.559999999998</v>
      </c>
      <c r="AG78" s="130"/>
      <c r="AH78" s="130"/>
      <c r="AI78" s="130"/>
      <c r="AJ78" s="130"/>
      <c r="AK78" s="130">
        <f t="shared" si="23"/>
        <v>-3.3932042424567044E-3</v>
      </c>
      <c r="AL78" s="130"/>
      <c r="AM78" s="130"/>
      <c r="AN78" s="130"/>
      <c r="AO78" s="130">
        <f t="shared" si="19"/>
        <v>-3.3932042424567044E-3</v>
      </c>
      <c r="AP78" s="119">
        <f t="shared" si="17"/>
        <v>889689.38939345698</v>
      </c>
      <c r="AQ78" s="119"/>
      <c r="AR78" s="89">
        <v>-889689.39</v>
      </c>
      <c r="AS78" s="185"/>
      <c r="AT78" s="185"/>
      <c r="AU78" s="185"/>
      <c r="AV78" s="185"/>
      <c r="AW78" s="186">
        <f t="shared" si="24"/>
        <v>-6.0654303524643183E-4</v>
      </c>
      <c r="AX78" s="223">
        <f t="shared" si="20"/>
        <v>-9.7296178995174315E-2</v>
      </c>
      <c r="AY78" s="229"/>
      <c r="AZ78" s="229"/>
      <c r="BA78" s="229"/>
    </row>
    <row r="79" spans="1:53" s="222" customFormat="1" ht="38.25">
      <c r="A79" s="77">
        <f t="shared" si="25"/>
        <v>70</v>
      </c>
      <c r="B79" s="78" t="s">
        <v>165</v>
      </c>
      <c r="C79" s="79" t="s">
        <v>166</v>
      </c>
      <c r="D79" s="78" t="s">
        <v>97</v>
      </c>
      <c r="E79" s="80" t="s">
        <v>85</v>
      </c>
      <c r="F79" s="78"/>
      <c r="G79" s="78"/>
      <c r="H79" s="81">
        <v>43525</v>
      </c>
      <c r="I79" s="81">
        <v>43525</v>
      </c>
      <c r="J79" s="82">
        <v>25000000</v>
      </c>
      <c r="K79" s="117">
        <v>7.7499999999999999E-2</v>
      </c>
      <c r="L79" s="85">
        <v>0.9</v>
      </c>
      <c r="M79" s="83">
        <v>9</v>
      </c>
      <c r="N79" s="85">
        <v>12</v>
      </c>
      <c r="O79" s="83">
        <f t="shared" si="26"/>
        <v>1307812.5</v>
      </c>
      <c r="P79" s="83">
        <f t="shared" si="27"/>
        <v>15166401.647457974</v>
      </c>
      <c r="Q79" s="83">
        <f t="shared" si="28"/>
        <v>793392.38618264522</v>
      </c>
      <c r="R79" s="83">
        <f t="shared" si="29"/>
        <v>514420.11381735478</v>
      </c>
      <c r="S79" s="84">
        <v>0.606656065898319</v>
      </c>
      <c r="T79" s="83"/>
      <c r="U79" s="85"/>
      <c r="V79" s="83">
        <f t="shared" si="21"/>
        <v>15166401.647457974</v>
      </c>
      <c r="W79" s="83">
        <f t="shared" si="21"/>
        <v>793392.38618264522</v>
      </c>
      <c r="X79" s="86">
        <f t="shared" si="22"/>
        <v>15166401.647457974</v>
      </c>
      <c r="Y79" s="86">
        <f t="shared" si="22"/>
        <v>793392.38618264522</v>
      </c>
      <c r="Z79" s="86">
        <f>1378724.99-Z80-Z81</f>
        <v>793377.71</v>
      </c>
      <c r="AA79" s="86"/>
      <c r="AB79" s="86">
        <f t="shared" si="30"/>
        <v>14.676182645256631</v>
      </c>
      <c r="AC79" s="87">
        <v>252.17662427574396</v>
      </c>
      <c r="AD79" s="87">
        <f t="shared" si="15"/>
        <v>280.54829429403355</v>
      </c>
      <c r="AE79" s="87"/>
      <c r="AF79" s="88"/>
      <c r="AG79" s="88"/>
      <c r="AH79" s="88"/>
      <c r="AI79" s="88"/>
      <c r="AJ79" s="88"/>
      <c r="AK79" s="130">
        <f t="shared" si="23"/>
        <v>14.676182645256631</v>
      </c>
      <c r="AL79" s="130"/>
      <c r="AM79" s="130"/>
      <c r="AN79" s="130"/>
      <c r="AO79" s="130">
        <f t="shared" si="19"/>
        <v>14.676182645256631</v>
      </c>
      <c r="AP79" s="119">
        <f t="shared" si="17"/>
        <v>315.61683108078773</v>
      </c>
      <c r="AQ79" s="182"/>
      <c r="AR79" s="182"/>
      <c r="AS79" s="183"/>
      <c r="AT79" s="183"/>
      <c r="AU79" s="183"/>
      <c r="AV79" s="183"/>
      <c r="AW79" s="186">
        <f t="shared" si="24"/>
        <v>315.61683108078773</v>
      </c>
      <c r="AX79" s="186">
        <f t="shared" si="20"/>
        <v>420.82244144105033</v>
      </c>
      <c r="AY79" s="221"/>
      <c r="AZ79" s="221"/>
      <c r="BA79" s="221"/>
    </row>
    <row r="80" spans="1:53" s="222" customFormat="1" ht="38.25">
      <c r="A80" s="77">
        <f t="shared" si="25"/>
        <v>71</v>
      </c>
      <c r="B80" s="78" t="s">
        <v>165</v>
      </c>
      <c r="C80" s="79" t="s">
        <v>167</v>
      </c>
      <c r="D80" s="78" t="s">
        <v>97</v>
      </c>
      <c r="E80" s="80" t="s">
        <v>85</v>
      </c>
      <c r="F80" s="78"/>
      <c r="G80" s="78"/>
      <c r="H80" s="81">
        <v>43617</v>
      </c>
      <c r="I80" s="81">
        <v>43617</v>
      </c>
      <c r="J80" s="82">
        <v>20000000</v>
      </c>
      <c r="K80" s="117">
        <v>7.7499999999999999E-2</v>
      </c>
      <c r="L80" s="85">
        <v>0.9</v>
      </c>
      <c r="M80" s="83">
        <v>6</v>
      </c>
      <c r="N80" s="85">
        <v>12</v>
      </c>
      <c r="O80" s="83">
        <f t="shared" si="26"/>
        <v>697500</v>
      </c>
      <c r="P80" s="83">
        <f t="shared" si="27"/>
        <v>12133121.317966379</v>
      </c>
      <c r="Q80" s="83">
        <f t="shared" si="28"/>
        <v>423142.60596407746</v>
      </c>
      <c r="R80" s="83">
        <f t="shared" si="29"/>
        <v>274357.39403592254</v>
      </c>
      <c r="S80" s="84">
        <v>0.606656065898319</v>
      </c>
      <c r="T80" s="83"/>
      <c r="U80" s="85"/>
      <c r="V80" s="83">
        <f t="shared" si="21"/>
        <v>12133121.317966379</v>
      </c>
      <c r="W80" s="83">
        <f t="shared" si="21"/>
        <v>423142.60596407746</v>
      </c>
      <c r="X80" s="86">
        <f t="shared" si="22"/>
        <v>12133121.317966379</v>
      </c>
      <c r="Y80" s="86">
        <f t="shared" si="22"/>
        <v>423142.60596407746</v>
      </c>
      <c r="Z80" s="93">
        <v>423142.61</v>
      </c>
      <c r="AA80" s="93"/>
      <c r="AB80" s="86">
        <f t="shared" si="30"/>
        <v>-4.0359225240536034E-3</v>
      </c>
      <c r="AC80" s="87">
        <v>0</v>
      </c>
      <c r="AD80" s="87">
        <f t="shared" si="15"/>
        <v>-7.7150251355863383E-2</v>
      </c>
      <c r="AE80" s="87"/>
      <c r="AF80" s="88"/>
      <c r="AG80" s="88"/>
      <c r="AH80" s="88"/>
      <c r="AI80" s="88"/>
      <c r="AJ80" s="88"/>
      <c r="AK80" s="130">
        <f t="shared" si="23"/>
        <v>-4.0359225240536034E-3</v>
      </c>
      <c r="AL80" s="130"/>
      <c r="AM80" s="130"/>
      <c r="AN80" s="130"/>
      <c r="AO80" s="130">
        <f t="shared" si="19"/>
        <v>-4.0359225240536034E-3</v>
      </c>
      <c r="AP80" s="89">
        <f t="shared" si="17"/>
        <v>-8.6794032775346308E-2</v>
      </c>
      <c r="AQ80" s="182"/>
      <c r="AR80" s="182"/>
      <c r="AS80" s="183"/>
      <c r="AT80" s="183"/>
      <c r="AU80" s="183"/>
      <c r="AV80" s="183"/>
      <c r="AW80" s="186">
        <f t="shared" si="24"/>
        <v>-8.6794032775346308E-2</v>
      </c>
      <c r="AX80" s="223">
        <f t="shared" si="20"/>
        <v>-0.11572537703379507</v>
      </c>
      <c r="AY80" s="221"/>
      <c r="AZ80" s="221"/>
      <c r="BA80" s="221"/>
    </row>
    <row r="81" spans="1:53" s="222" customFormat="1" ht="38.25">
      <c r="A81" s="77">
        <f t="shared" si="25"/>
        <v>72</v>
      </c>
      <c r="B81" s="78" t="s">
        <v>165</v>
      </c>
      <c r="C81" s="79" t="s">
        <v>168</v>
      </c>
      <c r="D81" s="78" t="s">
        <v>97</v>
      </c>
      <c r="E81" s="80" t="s">
        <v>85</v>
      </c>
      <c r="F81" s="78"/>
      <c r="G81" s="78"/>
      <c r="H81" s="81">
        <v>43739</v>
      </c>
      <c r="I81" s="81">
        <v>43739</v>
      </c>
      <c r="J81" s="82">
        <v>23000000</v>
      </c>
      <c r="K81" s="117">
        <v>7.7499999999999999E-2</v>
      </c>
      <c r="L81" s="85">
        <v>0.9</v>
      </c>
      <c r="M81" s="83">
        <v>2</v>
      </c>
      <c r="N81" s="85">
        <v>12</v>
      </c>
      <c r="O81" s="83">
        <f t="shared" si="26"/>
        <v>267375</v>
      </c>
      <c r="P81" s="83">
        <f t="shared" si="27"/>
        <v>13953089.515661336</v>
      </c>
      <c r="Q81" s="83">
        <f t="shared" si="28"/>
        <v>162204.66561956305</v>
      </c>
      <c r="R81" s="83">
        <f t="shared" si="29"/>
        <v>105170.33438043695</v>
      </c>
      <c r="S81" s="84">
        <v>0.606656065898319</v>
      </c>
      <c r="T81" s="83"/>
      <c r="U81" s="85"/>
      <c r="V81" s="83">
        <f t="shared" si="21"/>
        <v>13953089.515661336</v>
      </c>
      <c r="W81" s="83">
        <f t="shared" si="21"/>
        <v>162204.66561956305</v>
      </c>
      <c r="X81" s="86">
        <f t="shared" si="22"/>
        <v>13953089.515661336</v>
      </c>
      <c r="Y81" s="86">
        <f t="shared" si="22"/>
        <v>162204.66561956305</v>
      </c>
      <c r="Z81" s="93">
        <v>162204.67000000001</v>
      </c>
      <c r="AA81" s="93"/>
      <c r="AB81" s="86">
        <f t="shared" si="30"/>
        <v>-4.3804369634017348E-3</v>
      </c>
      <c r="AC81" s="87">
        <v>0</v>
      </c>
      <c r="AD81" s="87">
        <f t="shared" si="15"/>
        <v>-8.3735951510666373E-2</v>
      </c>
      <c r="AE81" s="87"/>
      <c r="AF81" s="88"/>
      <c r="AG81" s="88"/>
      <c r="AH81" s="88"/>
      <c r="AI81" s="88"/>
      <c r="AJ81" s="88"/>
      <c r="AK81" s="130">
        <f t="shared" si="23"/>
        <v>-4.3804369634017348E-3</v>
      </c>
      <c r="AL81" s="130"/>
      <c r="AM81" s="130"/>
      <c r="AN81" s="130"/>
      <c r="AO81" s="130">
        <f t="shared" si="19"/>
        <v>-4.3804369634017348E-3</v>
      </c>
      <c r="AP81" s="89">
        <f t="shared" si="17"/>
        <v>-9.420294544949967E-2</v>
      </c>
      <c r="AQ81" s="182"/>
      <c r="AR81" s="182"/>
      <c r="AS81" s="183"/>
      <c r="AT81" s="183"/>
      <c r="AU81" s="183"/>
      <c r="AV81" s="183"/>
      <c r="AW81" s="186">
        <f t="shared" si="24"/>
        <v>-9.420294544949967E-2</v>
      </c>
      <c r="AX81" s="223">
        <f t="shared" si="20"/>
        <v>-0.12560392726599956</v>
      </c>
      <c r="AY81" s="221"/>
      <c r="AZ81" s="221"/>
      <c r="BA81" s="221"/>
    </row>
    <row r="82" spans="1:53" s="230" customFormat="1" ht="25.5">
      <c r="A82" s="120">
        <f t="shared" si="25"/>
        <v>73</v>
      </c>
      <c r="B82" s="80" t="s">
        <v>169</v>
      </c>
      <c r="C82" s="121" t="s">
        <v>170</v>
      </c>
      <c r="D82" s="80" t="s">
        <v>57</v>
      </c>
      <c r="E82" s="80" t="s">
        <v>58</v>
      </c>
      <c r="F82" s="55"/>
      <c r="G82" s="55"/>
      <c r="H82" s="58">
        <v>43497</v>
      </c>
      <c r="I82" s="122">
        <v>43497</v>
      </c>
      <c r="J82" s="123">
        <v>15000000</v>
      </c>
      <c r="K82" s="61">
        <v>7.7499999999999999E-2</v>
      </c>
      <c r="L82" s="62">
        <v>0.9</v>
      </c>
      <c r="M82" s="63">
        <v>10</v>
      </c>
      <c r="N82" s="62">
        <v>12</v>
      </c>
      <c r="O82" s="126">
        <f t="shared" si="26"/>
        <v>871875</v>
      </c>
      <c r="P82" s="63">
        <f t="shared" si="27"/>
        <v>9099840.9884747844</v>
      </c>
      <c r="Q82" s="126">
        <f t="shared" si="28"/>
        <v>528928.25745509693</v>
      </c>
      <c r="R82" s="126">
        <f t="shared" si="29"/>
        <v>342946.74254490307</v>
      </c>
      <c r="S82" s="127">
        <v>0.606656065898319</v>
      </c>
      <c r="T82" s="63"/>
      <c r="U82" s="62"/>
      <c r="V82" s="126">
        <f t="shared" si="21"/>
        <v>9099840.9884747844</v>
      </c>
      <c r="W82" s="126">
        <f t="shared" si="21"/>
        <v>528928.25745509693</v>
      </c>
      <c r="X82" s="128">
        <f t="shared" si="22"/>
        <v>9099840.9884747844</v>
      </c>
      <c r="Y82" s="65">
        <f t="shared" si="22"/>
        <v>528928.25745509693</v>
      </c>
      <c r="Z82" s="65">
        <v>528879.38</v>
      </c>
      <c r="AA82" s="65"/>
      <c r="AB82" s="65">
        <f t="shared" si="30"/>
        <v>48.877455096924677</v>
      </c>
      <c r="AC82" s="66">
        <v>840.98847478628159</v>
      </c>
      <c r="AD82" s="66">
        <f t="shared" si="15"/>
        <v>934.33605920047171</v>
      </c>
      <c r="AE82" s="66"/>
      <c r="AF82" s="67"/>
      <c r="AG82" s="67"/>
      <c r="AH82" s="68"/>
      <c r="AI82" s="68"/>
      <c r="AJ82" s="69"/>
      <c r="AK82" s="67">
        <f t="shared" si="23"/>
        <v>48.877455096924677</v>
      </c>
      <c r="AL82" s="67"/>
      <c r="AM82" s="67"/>
      <c r="AN82" s="67"/>
      <c r="AO82" s="130">
        <f t="shared" si="19"/>
        <v>48.877455096924677</v>
      </c>
      <c r="AP82" s="70">
        <f t="shared" si="17"/>
        <v>1051.1280666005305</v>
      </c>
      <c r="AQ82" s="70"/>
      <c r="AR82" s="70"/>
      <c r="AS82" s="71"/>
      <c r="AT82" s="72"/>
      <c r="AU82" s="72"/>
      <c r="AV82" s="73"/>
      <c r="AW82" s="74">
        <f t="shared" si="24"/>
        <v>1051.1280666005305</v>
      </c>
      <c r="AX82" s="186">
        <f t="shared" si="20"/>
        <v>1401.5040888007074</v>
      </c>
      <c r="AY82" s="75"/>
      <c r="AZ82" s="75"/>
      <c r="BA82" s="75"/>
    </row>
    <row r="83" spans="1:53" ht="25.5">
      <c r="A83" s="151">
        <f t="shared" si="25"/>
        <v>74</v>
      </c>
      <c r="B83" s="152" t="s">
        <v>171</v>
      </c>
      <c r="C83" s="153" t="s">
        <v>172</v>
      </c>
      <c r="D83" s="152" t="s">
        <v>57</v>
      </c>
      <c r="E83" s="152" t="s">
        <v>85</v>
      </c>
      <c r="F83" s="152"/>
      <c r="G83" s="152"/>
      <c r="H83" s="154">
        <v>43497</v>
      </c>
      <c r="I83" s="154" t="s">
        <v>102</v>
      </c>
      <c r="J83" s="155">
        <v>35000000</v>
      </c>
      <c r="K83" s="156">
        <v>7.7499999999999999E-2</v>
      </c>
      <c r="L83" s="157">
        <v>0.9</v>
      </c>
      <c r="M83" s="158">
        <v>10</v>
      </c>
      <c r="N83" s="157">
        <v>12</v>
      </c>
      <c r="O83" s="158">
        <f t="shared" si="26"/>
        <v>2034375</v>
      </c>
      <c r="P83" s="158">
        <f t="shared" si="27"/>
        <v>21232962.306441166</v>
      </c>
      <c r="Q83" s="158">
        <f t="shared" si="28"/>
        <v>1234165.9340618926</v>
      </c>
      <c r="R83" s="158">
        <f t="shared" si="29"/>
        <v>800209.06593810744</v>
      </c>
      <c r="S83" s="159">
        <v>0.606656065898319</v>
      </c>
      <c r="T83" s="158"/>
      <c r="U83" s="157"/>
      <c r="V83" s="158">
        <f t="shared" si="21"/>
        <v>21232962.306441166</v>
      </c>
      <c r="W83" s="158">
        <f t="shared" si="21"/>
        <v>1234165.9340618926</v>
      </c>
      <c r="X83" s="160">
        <f t="shared" si="22"/>
        <v>21232962.306441166</v>
      </c>
      <c r="Y83" s="160">
        <f t="shared" si="22"/>
        <v>1234165.9340618926</v>
      </c>
      <c r="Z83" s="160"/>
      <c r="AA83" s="160"/>
      <c r="AB83" s="160">
        <f t="shared" si="30"/>
        <v>1234165.9340618926</v>
      </c>
      <c r="AC83" s="162">
        <v>21232962.306441166</v>
      </c>
      <c r="AD83" s="162">
        <f t="shared" si="15"/>
        <v>23592180.340490181</v>
      </c>
      <c r="AE83" s="162"/>
      <c r="AF83" s="163"/>
      <c r="AG83" s="163">
        <v>878850</v>
      </c>
      <c r="AH83" s="68"/>
      <c r="AI83" s="68"/>
      <c r="AJ83" s="69"/>
      <c r="AK83" s="67">
        <f t="shared" si="23"/>
        <v>355315.93406189256</v>
      </c>
      <c r="AL83" s="67"/>
      <c r="AM83" s="67"/>
      <c r="AN83" s="67"/>
      <c r="AO83" s="67">
        <f t="shared" si="19"/>
        <v>355315.93406189256</v>
      </c>
      <c r="AP83" s="164">
        <f t="shared" si="17"/>
        <v>26541202.883051455</v>
      </c>
      <c r="AQ83" s="164"/>
      <c r="AR83" s="164"/>
      <c r="AS83" s="172">
        <v>21000000</v>
      </c>
      <c r="AT83" s="72"/>
      <c r="AU83" s="72"/>
      <c r="AV83" s="73"/>
      <c r="AW83" s="74">
        <f t="shared" si="24"/>
        <v>5541202.883051455</v>
      </c>
      <c r="AX83" s="74">
        <f t="shared" si="20"/>
        <v>10188270.510735271</v>
      </c>
      <c r="AY83" s="150"/>
      <c r="AZ83" s="150"/>
      <c r="BA83" s="150"/>
    </row>
    <row r="84" spans="1:53" s="76" customFormat="1" ht="25.5">
      <c r="A84" s="54">
        <f t="shared" si="25"/>
        <v>75</v>
      </c>
      <c r="B84" s="55" t="s">
        <v>173</v>
      </c>
      <c r="C84" s="56" t="s">
        <v>174</v>
      </c>
      <c r="D84" s="55" t="s">
        <v>57</v>
      </c>
      <c r="E84" s="55" t="s">
        <v>58</v>
      </c>
      <c r="F84" s="55"/>
      <c r="G84" s="55"/>
      <c r="H84" s="58">
        <v>43497</v>
      </c>
      <c r="I84" s="59" t="s">
        <v>175</v>
      </c>
      <c r="J84" s="60">
        <v>20000000</v>
      </c>
      <c r="K84" s="61">
        <v>7.7499999999999999E-2</v>
      </c>
      <c r="L84" s="62">
        <v>0.9</v>
      </c>
      <c r="M84" s="63">
        <v>10</v>
      </c>
      <c r="N84" s="62">
        <v>12</v>
      </c>
      <c r="O84" s="63">
        <f t="shared" si="26"/>
        <v>1162500</v>
      </c>
      <c r="P84" s="63">
        <f t="shared" si="27"/>
        <v>12133121.317966379</v>
      </c>
      <c r="Q84" s="63">
        <f t="shared" si="28"/>
        <v>705237.67660679575</v>
      </c>
      <c r="R84" s="63">
        <f t="shared" si="29"/>
        <v>457262.32339320425</v>
      </c>
      <c r="S84" s="64">
        <v>0.606656065898319</v>
      </c>
      <c r="T84" s="63"/>
      <c r="U84" s="62"/>
      <c r="V84" s="63">
        <f t="shared" si="21"/>
        <v>12133121.317966379</v>
      </c>
      <c r="W84" s="63">
        <f t="shared" si="21"/>
        <v>705237.67660679575</v>
      </c>
      <c r="X84" s="65">
        <f t="shared" si="22"/>
        <v>12133121.317966379</v>
      </c>
      <c r="Y84" s="65">
        <f t="shared" si="22"/>
        <v>705237.67660679575</v>
      </c>
      <c r="Z84" s="65"/>
      <c r="AA84" s="65"/>
      <c r="AB84" s="65">
        <f t="shared" si="30"/>
        <v>705237.67660679575</v>
      </c>
      <c r="AC84" s="66">
        <v>12133121.317966379</v>
      </c>
      <c r="AD84" s="66">
        <f t="shared" si="15"/>
        <v>13481245.90885153</v>
      </c>
      <c r="AE84" s="66"/>
      <c r="AF84" s="67"/>
      <c r="AG84" s="67"/>
      <c r="AH84" s="68"/>
      <c r="AI84" s="68"/>
      <c r="AJ84" s="69"/>
      <c r="AK84" s="67">
        <f t="shared" si="23"/>
        <v>705237.67660679575</v>
      </c>
      <c r="AL84" s="67"/>
      <c r="AM84" s="67"/>
      <c r="AN84" s="67"/>
      <c r="AO84" s="67">
        <f t="shared" si="19"/>
        <v>705237.67660679575</v>
      </c>
      <c r="AP84" s="70">
        <f t="shared" si="17"/>
        <v>15166401.647457972</v>
      </c>
      <c r="AQ84" s="70"/>
      <c r="AR84" s="70"/>
      <c r="AS84" s="71"/>
      <c r="AT84" s="72"/>
      <c r="AU84" s="72"/>
      <c r="AV84" s="73"/>
      <c r="AW84" s="74">
        <f t="shared" si="24"/>
        <v>15166401.647457972</v>
      </c>
      <c r="AX84" s="74">
        <f t="shared" si="20"/>
        <v>20221868.863277297</v>
      </c>
      <c r="AY84" s="75"/>
      <c r="AZ84" s="75"/>
      <c r="BA84" s="75"/>
    </row>
    <row r="85" spans="1:53" s="76" customFormat="1" ht="25.5">
      <c r="A85" s="54">
        <f t="shared" si="25"/>
        <v>76</v>
      </c>
      <c r="B85" s="55" t="s">
        <v>176</v>
      </c>
      <c r="C85" s="56" t="s">
        <v>177</v>
      </c>
      <c r="D85" s="55" t="s">
        <v>57</v>
      </c>
      <c r="E85" s="55" t="s">
        <v>58</v>
      </c>
      <c r="F85" s="55"/>
      <c r="G85" s="55"/>
      <c r="H85" s="58">
        <v>43497</v>
      </c>
      <c r="I85" s="58" t="s">
        <v>102</v>
      </c>
      <c r="J85" s="60">
        <v>500000</v>
      </c>
      <c r="K85" s="61">
        <v>7.7499999999999999E-2</v>
      </c>
      <c r="L85" s="62">
        <v>0.9</v>
      </c>
      <c r="M85" s="63">
        <v>10</v>
      </c>
      <c r="N85" s="62">
        <v>12</v>
      </c>
      <c r="O85" s="63">
        <f t="shared" si="26"/>
        <v>29062.5</v>
      </c>
      <c r="P85" s="63">
        <f t="shared" si="27"/>
        <v>303328.0329491595</v>
      </c>
      <c r="Q85" s="63">
        <f t="shared" si="28"/>
        <v>17630.941915169897</v>
      </c>
      <c r="R85" s="63">
        <f t="shared" si="29"/>
        <v>11431.558084830103</v>
      </c>
      <c r="S85" s="64">
        <v>0.606656065898319</v>
      </c>
      <c r="T85" s="63"/>
      <c r="U85" s="62"/>
      <c r="V85" s="63">
        <f t="shared" si="21"/>
        <v>303328.0329491595</v>
      </c>
      <c r="W85" s="63">
        <f t="shared" si="21"/>
        <v>17630.941915169897</v>
      </c>
      <c r="X85" s="65">
        <f t="shared" si="22"/>
        <v>303328.0329491595</v>
      </c>
      <c r="Y85" s="65">
        <f t="shared" si="22"/>
        <v>17630.941915169897</v>
      </c>
      <c r="Z85" s="65"/>
      <c r="AA85" s="65"/>
      <c r="AB85" s="65">
        <f t="shared" si="30"/>
        <v>17630.941915169897</v>
      </c>
      <c r="AC85" s="66">
        <v>303328.0329491595</v>
      </c>
      <c r="AD85" s="66">
        <f t="shared" si="15"/>
        <v>337031.14772128832</v>
      </c>
      <c r="AE85" s="66"/>
      <c r="AF85" s="67"/>
      <c r="AG85" s="67"/>
      <c r="AH85" s="68"/>
      <c r="AI85" s="68"/>
      <c r="AJ85" s="69"/>
      <c r="AK85" s="67">
        <f t="shared" si="23"/>
        <v>17630.941915169897</v>
      </c>
      <c r="AL85" s="67"/>
      <c r="AM85" s="67"/>
      <c r="AN85" s="67"/>
      <c r="AO85" s="67">
        <f t="shared" si="19"/>
        <v>17630.941915169897</v>
      </c>
      <c r="AP85" s="70">
        <f t="shared" si="17"/>
        <v>379160.04118644935</v>
      </c>
      <c r="AQ85" s="70"/>
      <c r="AR85" s="70"/>
      <c r="AS85" s="71"/>
      <c r="AT85" s="72"/>
      <c r="AU85" s="72"/>
      <c r="AV85" s="73"/>
      <c r="AW85" s="74">
        <f t="shared" si="24"/>
        <v>379160.04118644935</v>
      </c>
      <c r="AX85" s="74">
        <f t="shared" si="20"/>
        <v>505546.72158193251</v>
      </c>
      <c r="AY85" s="75"/>
      <c r="AZ85" s="75"/>
      <c r="BA85" s="75"/>
    </row>
    <row r="86" spans="1:53" s="76" customFormat="1" ht="25.5">
      <c r="A86" s="54">
        <f t="shared" si="25"/>
        <v>77</v>
      </c>
      <c r="B86" s="55" t="s">
        <v>178</v>
      </c>
      <c r="C86" s="56" t="s">
        <v>179</v>
      </c>
      <c r="D86" s="55" t="s">
        <v>57</v>
      </c>
      <c r="E86" s="55" t="s">
        <v>58</v>
      </c>
      <c r="F86" s="55"/>
      <c r="G86" s="55"/>
      <c r="H86" s="58">
        <v>43556</v>
      </c>
      <c r="I86" s="58">
        <v>43556</v>
      </c>
      <c r="J86" s="60">
        <v>500000</v>
      </c>
      <c r="K86" s="61">
        <v>7.7499999999999999E-2</v>
      </c>
      <c r="L86" s="62">
        <v>0.9</v>
      </c>
      <c r="M86" s="63">
        <v>8</v>
      </c>
      <c r="N86" s="62">
        <v>12</v>
      </c>
      <c r="O86" s="63">
        <f t="shared" si="26"/>
        <v>23250</v>
      </c>
      <c r="P86" s="63">
        <f t="shared" si="27"/>
        <v>303328.0329491595</v>
      </c>
      <c r="Q86" s="63">
        <f t="shared" si="28"/>
        <v>14104.753532135917</v>
      </c>
      <c r="R86" s="63">
        <f t="shared" si="29"/>
        <v>9145.2464678640827</v>
      </c>
      <c r="S86" s="64">
        <v>0.606656065898319</v>
      </c>
      <c r="T86" s="63"/>
      <c r="U86" s="62"/>
      <c r="V86" s="63">
        <f t="shared" si="21"/>
        <v>303328.0329491595</v>
      </c>
      <c r="W86" s="63">
        <f t="shared" si="21"/>
        <v>14104.753532135917</v>
      </c>
      <c r="X86" s="65">
        <f t="shared" si="22"/>
        <v>303328.0329491595</v>
      </c>
      <c r="Y86" s="65">
        <f t="shared" si="22"/>
        <v>14104.753532135917</v>
      </c>
      <c r="Z86" s="65"/>
      <c r="AA86" s="65"/>
      <c r="AB86" s="65">
        <f t="shared" si="30"/>
        <v>14104.753532135917</v>
      </c>
      <c r="AC86" s="66">
        <v>242662.42635932763</v>
      </c>
      <c r="AD86" s="66">
        <f t="shared" si="15"/>
        <v>269624.91817703069</v>
      </c>
      <c r="AE86" s="66"/>
      <c r="AF86" s="67"/>
      <c r="AG86" s="67"/>
      <c r="AH86" s="68"/>
      <c r="AI86" s="173">
        <v>13995.39</v>
      </c>
      <c r="AJ86" s="174"/>
      <c r="AK86" s="67">
        <f t="shared" si="23"/>
        <v>109.36353213591792</v>
      </c>
      <c r="AL86" s="67"/>
      <c r="AM86" s="67"/>
      <c r="AN86" s="67"/>
      <c r="AO86" s="67">
        <f t="shared" si="19"/>
        <v>109.36353213591792</v>
      </c>
      <c r="AP86" s="70">
        <f t="shared" si="17"/>
        <v>303328.0329491595</v>
      </c>
      <c r="AQ86" s="70"/>
      <c r="AR86" s="70"/>
      <c r="AS86" s="71"/>
      <c r="AT86" s="72"/>
      <c r="AU86" s="107">
        <v>465000</v>
      </c>
      <c r="AV86" s="113"/>
      <c r="AW86" s="74">
        <f t="shared" si="24"/>
        <v>-161671.9670508405</v>
      </c>
      <c r="AX86" s="74">
        <f t="shared" si="20"/>
        <v>3135.8718892019479</v>
      </c>
      <c r="AY86" s="75"/>
      <c r="AZ86" s="75"/>
      <c r="BA86" s="75"/>
    </row>
    <row r="87" spans="1:53" s="76" customFormat="1" ht="25.5">
      <c r="A87" s="54">
        <f t="shared" si="25"/>
        <v>78</v>
      </c>
      <c r="B87" s="55" t="s">
        <v>180</v>
      </c>
      <c r="C87" s="56" t="s">
        <v>181</v>
      </c>
      <c r="D87" s="55" t="s">
        <v>57</v>
      </c>
      <c r="E87" s="55" t="s">
        <v>58</v>
      </c>
      <c r="F87" s="55"/>
      <c r="G87" s="55"/>
      <c r="H87" s="58">
        <v>43556</v>
      </c>
      <c r="I87" s="58">
        <v>43556</v>
      </c>
      <c r="J87" s="60">
        <v>600000</v>
      </c>
      <c r="K87" s="61">
        <v>7.7499999999999999E-2</v>
      </c>
      <c r="L87" s="62">
        <v>0.9</v>
      </c>
      <c r="M87" s="63">
        <v>8</v>
      </c>
      <c r="N87" s="62">
        <v>12</v>
      </c>
      <c r="O87" s="63">
        <f t="shared" si="26"/>
        <v>27900</v>
      </c>
      <c r="P87" s="63">
        <f t="shared" si="27"/>
        <v>363993.63953899138</v>
      </c>
      <c r="Q87" s="63">
        <f t="shared" si="28"/>
        <v>16925.704238563099</v>
      </c>
      <c r="R87" s="63">
        <f t="shared" si="29"/>
        <v>10974.295761436901</v>
      </c>
      <c r="S87" s="64">
        <v>0.606656065898319</v>
      </c>
      <c r="T87" s="63"/>
      <c r="U87" s="62"/>
      <c r="V87" s="63">
        <f t="shared" si="21"/>
        <v>363993.63953899138</v>
      </c>
      <c r="W87" s="63">
        <f t="shared" si="21"/>
        <v>16925.704238563099</v>
      </c>
      <c r="X87" s="65">
        <f t="shared" si="22"/>
        <v>363993.63953899138</v>
      </c>
      <c r="Y87" s="65">
        <f t="shared" si="22"/>
        <v>16925.704238563099</v>
      </c>
      <c r="Z87" s="65"/>
      <c r="AA87" s="65"/>
      <c r="AB87" s="65">
        <f t="shared" si="30"/>
        <v>16925.704238563099</v>
      </c>
      <c r="AC87" s="66">
        <v>291194.91163119313</v>
      </c>
      <c r="AD87" s="66">
        <f t="shared" si="15"/>
        <v>323549.90181243682</v>
      </c>
      <c r="AE87" s="66"/>
      <c r="AF87" s="67"/>
      <c r="AG87" s="67"/>
      <c r="AH87" s="68"/>
      <c r="AI87" s="68"/>
      <c r="AJ87" s="69"/>
      <c r="AK87" s="67">
        <f t="shared" si="23"/>
        <v>16925.704238563099</v>
      </c>
      <c r="AL87" s="67"/>
      <c r="AM87" s="67"/>
      <c r="AN87" s="67"/>
      <c r="AO87" s="67">
        <f t="shared" si="19"/>
        <v>16925.704238563099</v>
      </c>
      <c r="AP87" s="70">
        <f t="shared" si="17"/>
        <v>363993.63953899138</v>
      </c>
      <c r="AQ87" s="70"/>
      <c r="AR87" s="70"/>
      <c r="AS87" s="71"/>
      <c r="AT87" s="72"/>
      <c r="AU87" s="72"/>
      <c r="AV87" s="73"/>
      <c r="AW87" s="74">
        <f t="shared" si="24"/>
        <v>363993.63953899138</v>
      </c>
      <c r="AX87" s="74">
        <f t="shared" si="20"/>
        <v>485324.85271865525</v>
      </c>
      <c r="AY87" s="75"/>
      <c r="AZ87" s="75"/>
      <c r="BA87" s="75"/>
    </row>
    <row r="88" spans="1:53" s="76" customFormat="1" ht="25.5">
      <c r="A88" s="54">
        <f t="shared" si="25"/>
        <v>79</v>
      </c>
      <c r="B88" s="55" t="s">
        <v>182</v>
      </c>
      <c r="C88" s="56" t="s">
        <v>183</v>
      </c>
      <c r="D88" s="55" t="s">
        <v>57</v>
      </c>
      <c r="E88" s="55" t="s">
        <v>58</v>
      </c>
      <c r="F88" s="55"/>
      <c r="G88" s="55"/>
      <c r="H88" s="58">
        <v>43497</v>
      </c>
      <c r="I88" s="59" t="s">
        <v>81</v>
      </c>
      <c r="J88" s="60">
        <v>10000000</v>
      </c>
      <c r="K88" s="61">
        <v>7.7499999999999999E-2</v>
      </c>
      <c r="L88" s="62">
        <v>0.9</v>
      </c>
      <c r="M88" s="63">
        <v>10</v>
      </c>
      <c r="N88" s="62">
        <v>12</v>
      </c>
      <c r="O88" s="63">
        <f t="shared" si="26"/>
        <v>581250</v>
      </c>
      <c r="P88" s="63">
        <f t="shared" si="27"/>
        <v>6066560.6589831896</v>
      </c>
      <c r="Q88" s="63">
        <f t="shared" si="28"/>
        <v>352618.83830339788</v>
      </c>
      <c r="R88" s="63">
        <f t="shared" si="29"/>
        <v>228631.16169660212</v>
      </c>
      <c r="S88" s="64">
        <v>0.606656065898319</v>
      </c>
      <c r="T88" s="63"/>
      <c r="U88" s="62"/>
      <c r="V88" s="63">
        <f t="shared" si="21"/>
        <v>6066560.6589831896</v>
      </c>
      <c r="W88" s="63">
        <f t="shared" si="21"/>
        <v>352618.83830339788</v>
      </c>
      <c r="X88" s="65">
        <f t="shared" si="22"/>
        <v>6066560.6589831896</v>
      </c>
      <c r="Y88" s="65">
        <f t="shared" si="22"/>
        <v>352618.83830339788</v>
      </c>
      <c r="Z88" s="65"/>
      <c r="AA88" s="65"/>
      <c r="AB88" s="65">
        <f t="shared" si="30"/>
        <v>352618.83830339788</v>
      </c>
      <c r="AC88" s="66">
        <v>6066560.6589831896</v>
      </c>
      <c r="AD88" s="66">
        <f t="shared" si="15"/>
        <v>6740622.9544257652</v>
      </c>
      <c r="AE88" s="66">
        <v>325500</v>
      </c>
      <c r="AF88" s="67"/>
      <c r="AG88" s="67"/>
      <c r="AH88" s="68"/>
      <c r="AI88" s="68"/>
      <c r="AJ88" s="69"/>
      <c r="AK88" s="67">
        <f t="shared" si="23"/>
        <v>27118.838303397875</v>
      </c>
      <c r="AL88" s="67"/>
      <c r="AM88" s="67"/>
      <c r="AN88" s="67"/>
      <c r="AO88" s="67">
        <f t="shared" si="19"/>
        <v>27118.838303397875</v>
      </c>
      <c r="AP88" s="70">
        <f t="shared" si="17"/>
        <v>7583200.8237289861</v>
      </c>
      <c r="AQ88" s="114">
        <v>7000000</v>
      </c>
      <c r="AR88" s="114"/>
      <c r="AS88" s="71"/>
      <c r="AT88" s="72"/>
      <c r="AU88" s="72"/>
      <c r="AV88" s="73"/>
      <c r="AW88" s="74">
        <f t="shared" si="24"/>
        <v>583200.82372898608</v>
      </c>
      <c r="AX88" s="74">
        <f t="shared" si="20"/>
        <v>777601.09830531536</v>
      </c>
      <c r="AY88" s="75"/>
      <c r="AZ88" s="75"/>
      <c r="BA88" s="75"/>
    </row>
    <row r="89" spans="1:53" s="76" customFormat="1" ht="25.5">
      <c r="A89" s="54">
        <f t="shared" si="25"/>
        <v>80</v>
      </c>
      <c r="B89" s="55" t="s">
        <v>184</v>
      </c>
      <c r="C89" s="56" t="s">
        <v>185</v>
      </c>
      <c r="D89" s="55" t="s">
        <v>57</v>
      </c>
      <c r="E89" s="55" t="s">
        <v>58</v>
      </c>
      <c r="F89" s="55"/>
      <c r="G89" s="55"/>
      <c r="H89" s="58">
        <v>43525</v>
      </c>
      <c r="I89" s="58" t="s">
        <v>102</v>
      </c>
      <c r="J89" s="60">
        <v>300000</v>
      </c>
      <c r="K89" s="61">
        <v>7.7499999999999999E-2</v>
      </c>
      <c r="L89" s="62">
        <v>0.9</v>
      </c>
      <c r="M89" s="63">
        <v>9</v>
      </c>
      <c r="N89" s="62">
        <v>12</v>
      </c>
      <c r="O89" s="63">
        <f t="shared" si="26"/>
        <v>15693.75</v>
      </c>
      <c r="P89" s="63">
        <f t="shared" si="27"/>
        <v>181996.81976949569</v>
      </c>
      <c r="Q89" s="63">
        <f t="shared" si="28"/>
        <v>9520.7086341917438</v>
      </c>
      <c r="R89" s="63">
        <f t="shared" si="29"/>
        <v>6173.0413658082562</v>
      </c>
      <c r="S89" s="64">
        <v>0.606656065898319</v>
      </c>
      <c r="T89" s="63"/>
      <c r="U89" s="62"/>
      <c r="V89" s="63">
        <f t="shared" si="21"/>
        <v>181996.81976949569</v>
      </c>
      <c r="W89" s="63">
        <f t="shared" si="21"/>
        <v>9520.7086341917438</v>
      </c>
      <c r="X89" s="65">
        <f t="shared" si="22"/>
        <v>181996.81976949569</v>
      </c>
      <c r="Y89" s="65">
        <f t="shared" si="22"/>
        <v>9520.7086341917438</v>
      </c>
      <c r="Z89" s="65"/>
      <c r="AA89" s="65"/>
      <c r="AB89" s="65">
        <f t="shared" si="30"/>
        <v>9520.7086341917438</v>
      </c>
      <c r="AC89" s="66">
        <v>163797.13779254613</v>
      </c>
      <c r="AD89" s="66">
        <f t="shared" si="15"/>
        <v>181996.81976949572</v>
      </c>
      <c r="AE89" s="66"/>
      <c r="AF89" s="67"/>
      <c r="AG89" s="67"/>
      <c r="AH89" s="68"/>
      <c r="AI89" s="68"/>
      <c r="AJ89" s="69"/>
      <c r="AK89" s="67">
        <f t="shared" si="23"/>
        <v>9520.7086341917438</v>
      </c>
      <c r="AL89" s="67"/>
      <c r="AM89" s="67"/>
      <c r="AN89" s="67"/>
      <c r="AO89" s="67">
        <f t="shared" si="19"/>
        <v>9520.7086341917438</v>
      </c>
      <c r="AP89" s="70">
        <f t="shared" si="17"/>
        <v>204746.42224068267</v>
      </c>
      <c r="AQ89" s="70"/>
      <c r="AR89" s="70"/>
      <c r="AS89" s="71"/>
      <c r="AT89" s="72"/>
      <c r="AU89" s="72"/>
      <c r="AV89" s="73"/>
      <c r="AW89" s="74">
        <f t="shared" si="24"/>
        <v>204746.42224068267</v>
      </c>
      <c r="AX89" s="74">
        <f t="shared" si="20"/>
        <v>272995.22965424357</v>
      </c>
      <c r="AY89" s="75"/>
      <c r="AZ89" s="75"/>
      <c r="BA89" s="75"/>
    </row>
    <row r="90" spans="1:53" s="222" customFormat="1" ht="25.5">
      <c r="A90" s="77">
        <f t="shared" si="25"/>
        <v>81</v>
      </c>
      <c r="B90" s="78" t="s">
        <v>186</v>
      </c>
      <c r="C90" s="79" t="s">
        <v>187</v>
      </c>
      <c r="D90" s="78" t="s">
        <v>57</v>
      </c>
      <c r="E90" s="80" t="s">
        <v>58</v>
      </c>
      <c r="F90" s="78"/>
      <c r="G90" s="78"/>
      <c r="H90" s="81">
        <v>43556</v>
      </c>
      <c r="I90" s="81">
        <v>43556</v>
      </c>
      <c r="J90" s="82">
        <v>8000000</v>
      </c>
      <c r="K90" s="117">
        <v>7.7499999999999999E-2</v>
      </c>
      <c r="L90" s="85">
        <v>0.9</v>
      </c>
      <c r="M90" s="83">
        <v>8</v>
      </c>
      <c r="N90" s="85">
        <v>12</v>
      </c>
      <c r="O90" s="83">
        <f t="shared" si="26"/>
        <v>372000</v>
      </c>
      <c r="P90" s="83">
        <f t="shared" si="27"/>
        <v>4853248.5271865521</v>
      </c>
      <c r="Q90" s="83">
        <f t="shared" si="28"/>
        <v>225676.05651417468</v>
      </c>
      <c r="R90" s="83">
        <f t="shared" si="29"/>
        <v>146323.94348582532</v>
      </c>
      <c r="S90" s="84">
        <v>0.606656065898319</v>
      </c>
      <c r="T90" s="118">
        <v>8000000</v>
      </c>
      <c r="U90" s="94">
        <v>465000</v>
      </c>
      <c r="V90" s="83">
        <f t="shared" si="21"/>
        <v>-3146751.4728134479</v>
      </c>
      <c r="W90" s="83">
        <f t="shared" si="21"/>
        <v>-239323.94348582532</v>
      </c>
      <c r="X90" s="86">
        <f t="shared" si="22"/>
        <v>-3146751.4728134479</v>
      </c>
      <c r="Y90" s="86">
        <f t="shared" si="22"/>
        <v>-239323.94348582532</v>
      </c>
      <c r="Z90" s="86"/>
      <c r="AA90" s="86"/>
      <c r="AB90" s="86">
        <f t="shared" si="30"/>
        <v>-239323.94348582532</v>
      </c>
      <c r="AC90" s="87">
        <v>-4117401.178250758</v>
      </c>
      <c r="AD90" s="87">
        <f t="shared" si="15"/>
        <v>-4574890.198056397</v>
      </c>
      <c r="AE90" s="87"/>
      <c r="AF90" s="88"/>
      <c r="AG90" s="88"/>
      <c r="AH90" s="88"/>
      <c r="AI90" s="88"/>
      <c r="AJ90" s="88"/>
      <c r="AK90" s="130">
        <f t="shared" si="23"/>
        <v>-239323.94348582532</v>
      </c>
      <c r="AL90" s="130"/>
      <c r="AM90" s="130"/>
      <c r="AN90" s="130"/>
      <c r="AO90" s="130">
        <f t="shared" si="19"/>
        <v>-239323.94348582532</v>
      </c>
      <c r="AP90" s="89">
        <f t="shared" si="17"/>
        <v>-5146751.472813447</v>
      </c>
      <c r="AQ90" s="182"/>
      <c r="AR90" s="182"/>
      <c r="AS90" s="183"/>
      <c r="AT90" s="183"/>
      <c r="AU90" s="183"/>
      <c r="AV90" s="183"/>
      <c r="AW90" s="186">
        <f t="shared" si="24"/>
        <v>-5146751.472813447</v>
      </c>
      <c r="AX90" s="223">
        <f t="shared" si="20"/>
        <v>-6862335.297084596</v>
      </c>
      <c r="AY90" s="221"/>
      <c r="AZ90" s="221"/>
      <c r="BA90" s="221"/>
    </row>
    <row r="91" spans="1:53" s="222" customFormat="1" ht="25.5">
      <c r="A91" s="77">
        <f t="shared" si="25"/>
        <v>82</v>
      </c>
      <c r="B91" s="78" t="s">
        <v>188</v>
      </c>
      <c r="C91" s="79" t="s">
        <v>189</v>
      </c>
      <c r="D91" s="78" t="s">
        <v>57</v>
      </c>
      <c r="E91" s="80" t="s">
        <v>58</v>
      </c>
      <c r="F91" s="78"/>
      <c r="G91" s="78"/>
      <c r="H91" s="81">
        <v>43556</v>
      </c>
      <c r="I91" s="81">
        <v>43556</v>
      </c>
      <c r="J91" s="82">
        <v>10000000</v>
      </c>
      <c r="K91" s="117">
        <v>7.7499999999999999E-2</v>
      </c>
      <c r="L91" s="85">
        <v>0.9</v>
      </c>
      <c r="M91" s="83">
        <v>8</v>
      </c>
      <c r="N91" s="85">
        <v>12</v>
      </c>
      <c r="O91" s="83">
        <f t="shared" si="26"/>
        <v>465000</v>
      </c>
      <c r="P91" s="83">
        <f t="shared" si="27"/>
        <v>6066560.6589831896</v>
      </c>
      <c r="Q91" s="83">
        <f t="shared" si="28"/>
        <v>282095.07064271829</v>
      </c>
      <c r="R91" s="83">
        <f t="shared" si="29"/>
        <v>182904.92935728171</v>
      </c>
      <c r="S91" s="84">
        <v>0.606656065898319</v>
      </c>
      <c r="T91" s="118">
        <v>10000000</v>
      </c>
      <c r="U91" s="94">
        <v>581250</v>
      </c>
      <c r="V91" s="83">
        <f t="shared" si="21"/>
        <v>-3933439.3410168104</v>
      </c>
      <c r="W91" s="83">
        <f t="shared" si="21"/>
        <v>-299154.92935728171</v>
      </c>
      <c r="X91" s="86">
        <f t="shared" si="22"/>
        <v>-3933439.3410168104</v>
      </c>
      <c r="Y91" s="86">
        <f t="shared" si="22"/>
        <v>-299154.92935728171</v>
      </c>
      <c r="Z91" s="86"/>
      <c r="AA91" s="86"/>
      <c r="AB91" s="86">
        <f t="shared" si="30"/>
        <v>-299154.92935728171</v>
      </c>
      <c r="AC91" s="87">
        <v>-5146751.4728134479</v>
      </c>
      <c r="AD91" s="87">
        <f t="shared" si="15"/>
        <v>-5718612.7475704979</v>
      </c>
      <c r="AE91" s="87"/>
      <c r="AF91" s="88"/>
      <c r="AG91" s="88"/>
      <c r="AH91" s="88"/>
      <c r="AI91" s="88"/>
      <c r="AJ91" s="88"/>
      <c r="AK91" s="130">
        <f t="shared" si="23"/>
        <v>-299154.92935728171</v>
      </c>
      <c r="AL91" s="130"/>
      <c r="AM91" s="130"/>
      <c r="AN91" s="130"/>
      <c r="AO91" s="130">
        <f t="shared" si="19"/>
        <v>-299154.92935728171</v>
      </c>
      <c r="AP91" s="89">
        <f t="shared" si="17"/>
        <v>-6433439.3410168104</v>
      </c>
      <c r="AQ91" s="182"/>
      <c r="AR91" s="182"/>
      <c r="AS91" s="183"/>
      <c r="AT91" s="183"/>
      <c r="AU91" s="183"/>
      <c r="AV91" s="183"/>
      <c r="AW91" s="186">
        <f t="shared" si="24"/>
        <v>-6433439.3410168104</v>
      </c>
      <c r="AX91" s="223">
        <f t="shared" si="20"/>
        <v>-8577919.1213557478</v>
      </c>
      <c r="AY91" s="221"/>
      <c r="AZ91" s="221"/>
      <c r="BA91" s="221"/>
    </row>
    <row r="92" spans="1:53" s="222" customFormat="1" ht="25.5">
      <c r="A92" s="77">
        <f t="shared" si="25"/>
        <v>83</v>
      </c>
      <c r="B92" s="78" t="s">
        <v>190</v>
      </c>
      <c r="C92" s="79" t="s">
        <v>191</v>
      </c>
      <c r="D92" s="78" t="s">
        <v>57</v>
      </c>
      <c r="E92" s="80" t="s">
        <v>58</v>
      </c>
      <c r="F92" s="78"/>
      <c r="G92" s="78"/>
      <c r="H92" s="81">
        <v>43525</v>
      </c>
      <c r="I92" s="81">
        <v>43525</v>
      </c>
      <c r="J92" s="82">
        <v>15000000</v>
      </c>
      <c r="K92" s="117">
        <v>7.7499999999999999E-2</v>
      </c>
      <c r="L92" s="85">
        <v>0.9</v>
      </c>
      <c r="M92" s="83">
        <v>9</v>
      </c>
      <c r="N92" s="85">
        <v>12</v>
      </c>
      <c r="O92" s="83">
        <f t="shared" si="26"/>
        <v>784687.5</v>
      </c>
      <c r="P92" s="83">
        <f t="shared" si="27"/>
        <v>9099840.9884747844</v>
      </c>
      <c r="Q92" s="83">
        <f t="shared" si="28"/>
        <v>476035.43170958717</v>
      </c>
      <c r="R92" s="83">
        <f t="shared" si="29"/>
        <v>308652.06829041283</v>
      </c>
      <c r="S92" s="84">
        <v>0.606656065898319</v>
      </c>
      <c r="T92" s="118">
        <v>15000000</v>
      </c>
      <c r="U92" s="94">
        <v>871875</v>
      </c>
      <c r="V92" s="83">
        <f t="shared" si="21"/>
        <v>-5900159.0115252156</v>
      </c>
      <c r="W92" s="83">
        <f t="shared" si="21"/>
        <v>-395839.56829041283</v>
      </c>
      <c r="X92" s="86">
        <f t="shared" si="22"/>
        <v>-5900159.0115252156</v>
      </c>
      <c r="Y92" s="86">
        <f t="shared" si="22"/>
        <v>-395839.56829041283</v>
      </c>
      <c r="Z92" s="86"/>
      <c r="AA92" s="86"/>
      <c r="AB92" s="86">
        <f t="shared" si="30"/>
        <v>-395839.56829041283</v>
      </c>
      <c r="AC92" s="87">
        <v>-6810143.1103726942</v>
      </c>
      <c r="AD92" s="87">
        <f t="shared" si="15"/>
        <v>-7566825.6781918816</v>
      </c>
      <c r="AE92" s="87"/>
      <c r="AF92" s="88"/>
      <c r="AG92" s="88"/>
      <c r="AH92" s="88"/>
      <c r="AI92" s="88"/>
      <c r="AJ92" s="88"/>
      <c r="AK92" s="130">
        <f t="shared" si="23"/>
        <v>-395839.56829041283</v>
      </c>
      <c r="AL92" s="130"/>
      <c r="AM92" s="130"/>
      <c r="AN92" s="130"/>
      <c r="AO92" s="130">
        <f t="shared" si="19"/>
        <v>-395839.56829041283</v>
      </c>
      <c r="AP92" s="89">
        <f t="shared" si="17"/>
        <v>-8512678.8879658673</v>
      </c>
      <c r="AQ92" s="182"/>
      <c r="AR92" s="182"/>
      <c r="AS92" s="183"/>
      <c r="AT92" s="183"/>
      <c r="AU92" s="183"/>
      <c r="AV92" s="183"/>
      <c r="AW92" s="186">
        <f t="shared" si="24"/>
        <v>-8512678.8879658673</v>
      </c>
      <c r="AX92" s="223">
        <f t="shared" si="20"/>
        <v>-11350238.517287822</v>
      </c>
      <c r="AY92" s="221"/>
      <c r="AZ92" s="221"/>
      <c r="BA92" s="221"/>
    </row>
    <row r="93" spans="1:53" s="76" customFormat="1" ht="25.5">
      <c r="A93" s="54">
        <f t="shared" si="25"/>
        <v>84</v>
      </c>
      <c r="B93" s="55" t="s">
        <v>192</v>
      </c>
      <c r="C93" s="56" t="s">
        <v>193</v>
      </c>
      <c r="D93" s="55" t="s">
        <v>57</v>
      </c>
      <c r="E93" s="55" t="s">
        <v>58</v>
      </c>
      <c r="F93" s="55"/>
      <c r="G93" s="55"/>
      <c r="H93" s="58">
        <v>43556</v>
      </c>
      <c r="I93" s="58">
        <v>43556</v>
      </c>
      <c r="J93" s="60">
        <v>10000000</v>
      </c>
      <c r="K93" s="61">
        <v>7.7499999999999999E-2</v>
      </c>
      <c r="L93" s="62">
        <v>0.9</v>
      </c>
      <c r="M93" s="63">
        <v>8</v>
      </c>
      <c r="N93" s="62">
        <v>12</v>
      </c>
      <c r="O93" s="63">
        <f t="shared" si="26"/>
        <v>465000</v>
      </c>
      <c r="P93" s="63">
        <f t="shared" si="27"/>
        <v>6066560.6589831896</v>
      </c>
      <c r="Q93" s="63">
        <f t="shared" si="28"/>
        <v>282095.07064271829</v>
      </c>
      <c r="R93" s="63">
        <f t="shared" si="29"/>
        <v>182904.92935728171</v>
      </c>
      <c r="S93" s="64">
        <v>0.606656065898319</v>
      </c>
      <c r="T93" s="63"/>
      <c r="U93" s="62"/>
      <c r="V93" s="63">
        <f t="shared" si="21"/>
        <v>6066560.6589831896</v>
      </c>
      <c r="W93" s="63">
        <f t="shared" si="21"/>
        <v>282095.07064271829</v>
      </c>
      <c r="X93" s="65">
        <f t="shared" si="22"/>
        <v>6066560.6589831896</v>
      </c>
      <c r="Y93" s="65">
        <f t="shared" si="22"/>
        <v>282095.07064271829</v>
      </c>
      <c r="Z93" s="65"/>
      <c r="AA93" s="65"/>
      <c r="AB93" s="65">
        <f t="shared" si="30"/>
        <v>282095.07064271829</v>
      </c>
      <c r="AC93" s="66">
        <v>4853248.5271865511</v>
      </c>
      <c r="AD93" s="66">
        <f t="shared" si="15"/>
        <v>5392498.3635406131</v>
      </c>
      <c r="AE93" s="66"/>
      <c r="AF93" s="67"/>
      <c r="AG93" s="67"/>
      <c r="AH93" s="68"/>
      <c r="AI93" s="68"/>
      <c r="AJ93" s="69"/>
      <c r="AK93" s="67">
        <f t="shared" si="23"/>
        <v>282095.07064271829</v>
      </c>
      <c r="AL93" s="67"/>
      <c r="AM93" s="67"/>
      <c r="AN93" s="67"/>
      <c r="AO93" s="67">
        <f t="shared" si="19"/>
        <v>282095.07064271829</v>
      </c>
      <c r="AP93" s="70">
        <f t="shared" si="17"/>
        <v>6066560.6589831896</v>
      </c>
      <c r="AQ93" s="70"/>
      <c r="AR93" s="70"/>
      <c r="AS93" s="71"/>
      <c r="AT93" s="72"/>
      <c r="AU93" s="72"/>
      <c r="AV93" s="73"/>
      <c r="AW93" s="74">
        <f t="shared" si="24"/>
        <v>6066560.6589831896</v>
      </c>
      <c r="AX93" s="74">
        <f t="shared" si="20"/>
        <v>8088747.5453109201</v>
      </c>
      <c r="AY93" s="75"/>
      <c r="AZ93" s="75"/>
      <c r="BA93" s="75"/>
    </row>
    <row r="94" spans="1:53" s="222" customFormat="1" ht="25.5">
      <c r="A94" s="77">
        <f t="shared" si="25"/>
        <v>85</v>
      </c>
      <c r="B94" s="78" t="s">
        <v>194</v>
      </c>
      <c r="C94" s="79" t="s">
        <v>195</v>
      </c>
      <c r="D94" s="78" t="s">
        <v>57</v>
      </c>
      <c r="E94" s="80" t="s">
        <v>85</v>
      </c>
      <c r="F94" s="78"/>
      <c r="G94" s="78"/>
      <c r="H94" s="81">
        <v>43525</v>
      </c>
      <c r="I94" s="81">
        <v>43525</v>
      </c>
      <c r="J94" s="82">
        <v>25000000</v>
      </c>
      <c r="K94" s="117">
        <v>7.7499999999999999E-2</v>
      </c>
      <c r="L94" s="85">
        <v>0.9</v>
      </c>
      <c r="M94" s="83">
        <v>9</v>
      </c>
      <c r="N94" s="85">
        <v>12</v>
      </c>
      <c r="O94" s="83">
        <f t="shared" si="26"/>
        <v>1307812.5</v>
      </c>
      <c r="P94" s="83">
        <f t="shared" si="27"/>
        <v>15166401.647457974</v>
      </c>
      <c r="Q94" s="83">
        <f t="shared" si="28"/>
        <v>793392.38618264522</v>
      </c>
      <c r="R94" s="83">
        <f t="shared" si="29"/>
        <v>514420.11381735478</v>
      </c>
      <c r="S94" s="84">
        <v>0.606656065898319</v>
      </c>
      <c r="T94" s="118">
        <v>25000000</v>
      </c>
      <c r="U94" s="94">
        <v>1453125</v>
      </c>
      <c r="V94" s="83">
        <f t="shared" si="21"/>
        <v>-9833598.352542026</v>
      </c>
      <c r="W94" s="83">
        <f t="shared" si="21"/>
        <v>-659732.61381735478</v>
      </c>
      <c r="X94" s="86">
        <f t="shared" si="22"/>
        <v>-9833598.352542026</v>
      </c>
      <c r="Y94" s="86">
        <f t="shared" si="22"/>
        <v>-659732.61381735478</v>
      </c>
      <c r="Z94" s="86"/>
      <c r="AA94" s="86"/>
      <c r="AB94" s="86">
        <f t="shared" si="30"/>
        <v>-659732.61381735478</v>
      </c>
      <c r="AC94" s="87">
        <v>-11350238.517287824</v>
      </c>
      <c r="AD94" s="87">
        <f t="shared" si="15"/>
        <v>-12611376.130319804</v>
      </c>
      <c r="AE94" s="87"/>
      <c r="AF94" s="88"/>
      <c r="AG94" s="88"/>
      <c r="AH94" s="88"/>
      <c r="AI94" s="88"/>
      <c r="AJ94" s="88"/>
      <c r="AK94" s="130">
        <f t="shared" si="23"/>
        <v>-659732.61381735478</v>
      </c>
      <c r="AL94" s="130"/>
      <c r="AM94" s="130"/>
      <c r="AN94" s="130"/>
      <c r="AO94" s="130">
        <f t="shared" si="19"/>
        <v>-659732.61381735478</v>
      </c>
      <c r="AP94" s="89">
        <f t="shared" si="17"/>
        <v>-14187798.146609779</v>
      </c>
      <c r="AQ94" s="182"/>
      <c r="AR94" s="182"/>
      <c r="AS94" s="183"/>
      <c r="AT94" s="183"/>
      <c r="AU94" s="183"/>
      <c r="AV94" s="183"/>
      <c r="AW94" s="186">
        <f t="shared" si="24"/>
        <v>-14187798.146609779</v>
      </c>
      <c r="AX94" s="223">
        <f t="shared" si="20"/>
        <v>-18917064.195479706</v>
      </c>
      <c r="AY94" s="221"/>
      <c r="AZ94" s="221"/>
      <c r="BA94" s="221"/>
    </row>
    <row r="95" spans="1:53" s="222" customFormat="1" ht="25.5">
      <c r="A95" s="77">
        <f t="shared" si="25"/>
        <v>86</v>
      </c>
      <c r="B95" s="78" t="s">
        <v>196</v>
      </c>
      <c r="C95" s="79" t="s">
        <v>197</v>
      </c>
      <c r="D95" s="78" t="s">
        <v>57</v>
      </c>
      <c r="E95" s="80" t="s">
        <v>58</v>
      </c>
      <c r="F95" s="78"/>
      <c r="G95" s="78"/>
      <c r="H95" s="81">
        <v>43556</v>
      </c>
      <c r="I95" s="81">
        <v>43556</v>
      </c>
      <c r="J95" s="82">
        <v>2000000</v>
      </c>
      <c r="K95" s="117">
        <v>7.7499999999999999E-2</v>
      </c>
      <c r="L95" s="85">
        <v>0.9</v>
      </c>
      <c r="M95" s="83">
        <v>8</v>
      </c>
      <c r="N95" s="85">
        <v>12</v>
      </c>
      <c r="O95" s="83">
        <f t="shared" si="26"/>
        <v>93000</v>
      </c>
      <c r="P95" s="83">
        <f t="shared" si="27"/>
        <v>1213312.131796638</v>
      </c>
      <c r="Q95" s="83">
        <f t="shared" si="28"/>
        <v>56419.014128543669</v>
      </c>
      <c r="R95" s="83">
        <f t="shared" si="29"/>
        <v>36580.985871456331</v>
      </c>
      <c r="S95" s="84">
        <v>0.606656065898319</v>
      </c>
      <c r="T95" s="118">
        <v>2000000</v>
      </c>
      <c r="U95" s="94">
        <v>116250</v>
      </c>
      <c r="V95" s="83">
        <f t="shared" si="21"/>
        <v>-786687.86820336198</v>
      </c>
      <c r="W95" s="83">
        <f t="shared" si="21"/>
        <v>-59830.985871456331</v>
      </c>
      <c r="X95" s="86">
        <f t="shared" si="22"/>
        <v>-786687.86820336198</v>
      </c>
      <c r="Y95" s="86">
        <f t="shared" si="22"/>
        <v>-59830.985871456331</v>
      </c>
      <c r="Z95" s="86"/>
      <c r="AA95" s="86"/>
      <c r="AB95" s="86">
        <f t="shared" si="30"/>
        <v>-59830.985871456331</v>
      </c>
      <c r="AC95" s="87">
        <v>-1029350.2945626895</v>
      </c>
      <c r="AD95" s="87">
        <f t="shared" si="15"/>
        <v>-1143722.5495140993</v>
      </c>
      <c r="AE95" s="87"/>
      <c r="AF95" s="88"/>
      <c r="AG95" s="88"/>
      <c r="AH95" s="88"/>
      <c r="AI95" s="88"/>
      <c r="AJ95" s="88"/>
      <c r="AK95" s="130">
        <f t="shared" si="23"/>
        <v>-59830.985871456331</v>
      </c>
      <c r="AL95" s="130"/>
      <c r="AM95" s="130"/>
      <c r="AN95" s="130"/>
      <c r="AO95" s="130">
        <f t="shared" si="19"/>
        <v>-59830.985871456331</v>
      </c>
      <c r="AP95" s="89">
        <f t="shared" si="17"/>
        <v>-1286687.8682033618</v>
      </c>
      <c r="AQ95" s="182"/>
      <c r="AR95" s="182"/>
      <c r="AS95" s="183"/>
      <c r="AT95" s="183"/>
      <c r="AU95" s="183"/>
      <c r="AV95" s="183"/>
      <c r="AW95" s="186">
        <f t="shared" si="24"/>
        <v>-1286687.8682033618</v>
      </c>
      <c r="AX95" s="223">
        <f t="shared" si="20"/>
        <v>-1715583.824271149</v>
      </c>
      <c r="AY95" s="221"/>
      <c r="AZ95" s="221"/>
      <c r="BA95" s="221"/>
    </row>
    <row r="96" spans="1:53" s="2" customFormat="1" ht="25.5">
      <c r="A96" s="97">
        <f t="shared" si="25"/>
        <v>87</v>
      </c>
      <c r="B96" s="98" t="s">
        <v>198</v>
      </c>
      <c r="C96" s="109" t="s">
        <v>199</v>
      </c>
      <c r="D96" s="98" t="s">
        <v>57</v>
      </c>
      <c r="E96" s="110" t="s">
        <v>85</v>
      </c>
      <c r="F96" s="98"/>
      <c r="G96" s="98"/>
      <c r="H96" s="100">
        <v>43525</v>
      </c>
      <c r="I96" s="58" t="s">
        <v>102</v>
      </c>
      <c r="J96" s="101">
        <v>10000000</v>
      </c>
      <c r="K96" s="111">
        <v>7.7499999999999999E-2</v>
      </c>
      <c r="L96" s="104">
        <v>0.9</v>
      </c>
      <c r="M96" s="102">
        <v>9</v>
      </c>
      <c r="N96" s="104">
        <v>12</v>
      </c>
      <c r="O96" s="102">
        <f t="shared" si="26"/>
        <v>523125</v>
      </c>
      <c r="P96" s="102">
        <f t="shared" si="27"/>
        <v>6066560.6589831896</v>
      </c>
      <c r="Q96" s="102">
        <f t="shared" si="28"/>
        <v>317356.95447305811</v>
      </c>
      <c r="R96" s="102">
        <f t="shared" si="29"/>
        <v>205768.04552694189</v>
      </c>
      <c r="S96" s="103">
        <v>0.606656065898319</v>
      </c>
      <c r="T96" s="102"/>
      <c r="U96" s="104"/>
      <c r="V96" s="102">
        <f t="shared" si="21"/>
        <v>6066560.6589831896</v>
      </c>
      <c r="W96" s="102">
        <f t="shared" si="21"/>
        <v>317356.95447305811</v>
      </c>
      <c r="X96" s="105">
        <f t="shared" si="22"/>
        <v>6066560.6589831896</v>
      </c>
      <c r="Y96" s="105">
        <f t="shared" si="22"/>
        <v>317356.95447305811</v>
      </c>
      <c r="Z96" s="105"/>
      <c r="AA96" s="105"/>
      <c r="AB96" s="105">
        <f t="shared" si="30"/>
        <v>317356.95447305811</v>
      </c>
      <c r="AC96" s="106">
        <v>5459904.5930848699</v>
      </c>
      <c r="AD96" s="106">
        <f t="shared" si="15"/>
        <v>6066560.6589831896</v>
      </c>
      <c r="AE96" s="106"/>
      <c r="AF96" s="68"/>
      <c r="AG96" s="68"/>
      <c r="AH96" s="68"/>
      <c r="AI96" s="68"/>
      <c r="AJ96" s="69"/>
      <c r="AK96" s="67">
        <f t="shared" si="23"/>
        <v>317356.95447305811</v>
      </c>
      <c r="AL96" s="67"/>
      <c r="AM96" s="67"/>
      <c r="AN96" s="67"/>
      <c r="AO96" s="67">
        <f t="shared" si="19"/>
        <v>317356.95447305811</v>
      </c>
      <c r="AP96" s="107">
        <f t="shared" si="17"/>
        <v>6824880.7413560878</v>
      </c>
      <c r="AQ96" s="107"/>
      <c r="AR96" s="107"/>
      <c r="AS96" s="72"/>
      <c r="AT96" s="72"/>
      <c r="AU96" s="72"/>
      <c r="AV96" s="73"/>
      <c r="AW96" s="74">
        <f t="shared" si="24"/>
        <v>6824880.7413560878</v>
      </c>
      <c r="AX96" s="74">
        <f t="shared" si="20"/>
        <v>9099840.9884747844</v>
      </c>
      <c r="AY96" s="108"/>
      <c r="AZ96" s="108"/>
      <c r="BA96" s="108"/>
    </row>
    <row r="97" spans="1:53" s="222" customFormat="1" ht="25.5">
      <c r="A97" s="77">
        <f t="shared" si="25"/>
        <v>88</v>
      </c>
      <c r="B97" s="78" t="s">
        <v>200</v>
      </c>
      <c r="C97" s="79" t="s">
        <v>201</v>
      </c>
      <c r="D97" s="78" t="s">
        <v>57</v>
      </c>
      <c r="E97" s="80" t="s">
        <v>58</v>
      </c>
      <c r="F97" s="78"/>
      <c r="G97" s="78"/>
      <c r="H97" s="81">
        <v>43525</v>
      </c>
      <c r="I97" s="81">
        <v>43525</v>
      </c>
      <c r="J97" s="82">
        <v>4000000</v>
      </c>
      <c r="K97" s="117">
        <v>7.7499999999999999E-2</v>
      </c>
      <c r="L97" s="85">
        <v>0.9</v>
      </c>
      <c r="M97" s="83">
        <v>9</v>
      </c>
      <c r="N97" s="85">
        <v>12</v>
      </c>
      <c r="O97" s="83">
        <f t="shared" si="26"/>
        <v>209250</v>
      </c>
      <c r="P97" s="83">
        <f t="shared" si="27"/>
        <v>2426624.263593276</v>
      </c>
      <c r="Q97" s="83">
        <f t="shared" si="28"/>
        <v>126942.78178922326</v>
      </c>
      <c r="R97" s="83">
        <f t="shared" si="29"/>
        <v>82307.218210776744</v>
      </c>
      <c r="S97" s="84">
        <v>0.606656065898319</v>
      </c>
      <c r="T97" s="83"/>
      <c r="U97" s="85"/>
      <c r="V97" s="83">
        <f t="shared" si="21"/>
        <v>2426624.263593276</v>
      </c>
      <c r="W97" s="83">
        <f t="shared" si="21"/>
        <v>126942.78178922326</v>
      </c>
      <c r="X97" s="86">
        <f t="shared" si="22"/>
        <v>2426624.263593276</v>
      </c>
      <c r="Y97" s="86">
        <f t="shared" si="22"/>
        <v>126942.78178922326</v>
      </c>
      <c r="Z97" s="86">
        <v>126886.88</v>
      </c>
      <c r="AA97" s="86"/>
      <c r="AB97" s="86">
        <f t="shared" si="30"/>
        <v>55.901789223251399</v>
      </c>
      <c r="AC97" s="87">
        <v>961.83723394852132</v>
      </c>
      <c r="AD97" s="87">
        <f t="shared" si="15"/>
        <v>1068.6124582700388</v>
      </c>
      <c r="AE97" s="87"/>
      <c r="AF97" s="88"/>
      <c r="AG97" s="88"/>
      <c r="AH97" s="88"/>
      <c r="AI97" s="88"/>
      <c r="AJ97" s="88"/>
      <c r="AK97" s="130">
        <f t="shared" si="23"/>
        <v>55.901789223251399</v>
      </c>
      <c r="AL97" s="130"/>
      <c r="AM97" s="130"/>
      <c r="AN97" s="130"/>
      <c r="AO97" s="130">
        <f t="shared" si="19"/>
        <v>55.901789223251399</v>
      </c>
      <c r="AP97" s="119">
        <f t="shared" si="17"/>
        <v>1202.1890155537935</v>
      </c>
      <c r="AQ97" s="182"/>
      <c r="AR97" s="182"/>
      <c r="AS97" s="183"/>
      <c r="AT97" s="183"/>
      <c r="AU97" s="183"/>
      <c r="AV97" s="183"/>
      <c r="AW97" s="186">
        <f t="shared" si="24"/>
        <v>1202.1890155537935</v>
      </c>
      <c r="AX97" s="186">
        <f t="shared" si="20"/>
        <v>1602.9186874050583</v>
      </c>
      <c r="AY97" s="221"/>
      <c r="AZ97" s="221"/>
      <c r="BA97" s="221"/>
    </row>
    <row r="98" spans="1:53" s="230" customFormat="1">
      <c r="A98" s="120">
        <f t="shared" si="25"/>
        <v>89</v>
      </c>
      <c r="B98" s="80" t="s">
        <v>202</v>
      </c>
      <c r="C98" s="121" t="s">
        <v>203</v>
      </c>
      <c r="D98" s="80" t="s">
        <v>97</v>
      </c>
      <c r="E98" s="80" t="s">
        <v>58</v>
      </c>
      <c r="F98" s="55"/>
      <c r="G98" s="55"/>
      <c r="H98" s="58">
        <v>43497</v>
      </c>
      <c r="I98" s="122">
        <v>43497</v>
      </c>
      <c r="J98" s="123">
        <v>1000000</v>
      </c>
      <c r="K98" s="61">
        <v>7.7499999999999999E-2</v>
      </c>
      <c r="L98" s="62">
        <v>0.9</v>
      </c>
      <c r="M98" s="63">
        <v>10</v>
      </c>
      <c r="N98" s="62">
        <v>12</v>
      </c>
      <c r="O98" s="126">
        <f t="shared" si="26"/>
        <v>58125</v>
      </c>
      <c r="P98" s="63">
        <f t="shared" si="27"/>
        <v>606656.06589831901</v>
      </c>
      <c r="Q98" s="126">
        <f t="shared" si="28"/>
        <v>35261.883830339793</v>
      </c>
      <c r="R98" s="126">
        <f t="shared" si="29"/>
        <v>22863.116169660207</v>
      </c>
      <c r="S98" s="127">
        <v>0.606656065898319</v>
      </c>
      <c r="T98" s="63"/>
      <c r="U98" s="62"/>
      <c r="V98" s="126">
        <f t="shared" si="21"/>
        <v>606656.06589831901</v>
      </c>
      <c r="W98" s="126">
        <f t="shared" si="21"/>
        <v>35261.883830339793</v>
      </c>
      <c r="X98" s="128">
        <f t="shared" si="22"/>
        <v>606656.06589831901</v>
      </c>
      <c r="Y98" s="65">
        <f t="shared" si="22"/>
        <v>35261.883830339793</v>
      </c>
      <c r="Z98" s="65"/>
      <c r="AA98" s="65"/>
      <c r="AB98" s="65">
        <f t="shared" si="30"/>
        <v>35261.883830339793</v>
      </c>
      <c r="AC98" s="66">
        <v>606656.06589831901</v>
      </c>
      <c r="AD98" s="66">
        <f t="shared" si="15"/>
        <v>674062.29544257664</v>
      </c>
      <c r="AE98" s="66"/>
      <c r="AF98" s="67">
        <v>-35261.879999999997</v>
      </c>
      <c r="AG98" s="67"/>
      <c r="AH98" s="68"/>
      <c r="AI98" s="68"/>
      <c r="AJ98" s="69"/>
      <c r="AK98" s="67">
        <f t="shared" si="23"/>
        <v>3.8303397959680296E-3</v>
      </c>
      <c r="AL98" s="67"/>
      <c r="AM98" s="67"/>
      <c r="AN98" s="67"/>
      <c r="AO98" s="130">
        <f t="shared" si="19"/>
        <v>3.8303397959680296E-3</v>
      </c>
      <c r="AP98" s="70">
        <f t="shared" si="17"/>
        <v>758320.0823728987</v>
      </c>
      <c r="AQ98" s="70"/>
      <c r="AR98" s="116">
        <v>-758320.08</v>
      </c>
      <c r="AS98" s="71"/>
      <c r="AT98" s="72"/>
      <c r="AU98" s="72"/>
      <c r="AV98" s="73"/>
      <c r="AW98" s="74">
        <f t="shared" si="24"/>
        <v>2.3728987434878945E-3</v>
      </c>
      <c r="AX98" s="186">
        <f t="shared" si="20"/>
        <v>0.10983053178402953</v>
      </c>
      <c r="AY98" s="75"/>
      <c r="AZ98" s="75"/>
      <c r="BA98" s="75"/>
    </row>
    <row r="99" spans="1:53" s="222" customFormat="1" ht="25.5">
      <c r="A99" s="77">
        <f t="shared" si="25"/>
        <v>90</v>
      </c>
      <c r="B99" s="78" t="s">
        <v>204</v>
      </c>
      <c r="C99" s="79" t="s">
        <v>205</v>
      </c>
      <c r="D99" s="78" t="s">
        <v>57</v>
      </c>
      <c r="E99" s="80" t="s">
        <v>58</v>
      </c>
      <c r="F99" s="78"/>
      <c r="G99" s="78"/>
      <c r="H99" s="81">
        <v>43525</v>
      </c>
      <c r="I99" s="81">
        <v>43525</v>
      </c>
      <c r="J99" s="82">
        <v>20000000</v>
      </c>
      <c r="K99" s="117">
        <v>7.7499999999999999E-2</v>
      </c>
      <c r="L99" s="85">
        <v>0.9</v>
      </c>
      <c r="M99" s="83">
        <v>9</v>
      </c>
      <c r="N99" s="85">
        <v>12</v>
      </c>
      <c r="O99" s="83">
        <f t="shared" si="26"/>
        <v>1046250</v>
      </c>
      <c r="P99" s="83">
        <f t="shared" si="27"/>
        <v>12133121.317966379</v>
      </c>
      <c r="Q99" s="83">
        <f t="shared" si="28"/>
        <v>634713.90894611622</v>
      </c>
      <c r="R99" s="83">
        <f t="shared" si="29"/>
        <v>411536.09105388378</v>
      </c>
      <c r="S99" s="84">
        <v>0.606656065898319</v>
      </c>
      <c r="T99" s="83"/>
      <c r="U99" s="85"/>
      <c r="V99" s="83">
        <f t="shared" si="21"/>
        <v>12133121.317966379</v>
      </c>
      <c r="W99" s="83">
        <f t="shared" si="21"/>
        <v>634713.90894611622</v>
      </c>
      <c r="X99" s="86">
        <f t="shared" si="22"/>
        <v>12133121.317966379</v>
      </c>
      <c r="Y99" s="86">
        <f t="shared" si="22"/>
        <v>634713.90894611622</v>
      </c>
      <c r="Z99" s="86"/>
      <c r="AA99" s="86">
        <f>706218.75-AA100</f>
        <v>634713.91</v>
      </c>
      <c r="AB99" s="86">
        <f t="shared" si="30"/>
        <v>-1.0538838105276227E-3</v>
      </c>
      <c r="AC99" s="87">
        <v>-1063550.6490844637</v>
      </c>
      <c r="AD99" s="87">
        <f t="shared" si="15"/>
        <v>-2.0145927082965309E-2</v>
      </c>
      <c r="AE99" s="87"/>
      <c r="AF99" s="88"/>
      <c r="AG99" s="88"/>
      <c r="AH99" s="88"/>
      <c r="AI99" s="88"/>
      <c r="AJ99" s="88"/>
      <c r="AK99" s="130">
        <f t="shared" si="23"/>
        <v>-1.0538838105276227E-3</v>
      </c>
      <c r="AL99" s="130"/>
      <c r="AM99" s="130"/>
      <c r="AN99" s="130"/>
      <c r="AO99" s="130">
        <f t="shared" si="19"/>
        <v>-1.0538838105276227E-3</v>
      </c>
      <c r="AP99" s="89">
        <f t="shared" si="17"/>
        <v>-2.2664167968335973E-2</v>
      </c>
      <c r="AQ99" s="182"/>
      <c r="AR99" s="182"/>
      <c r="AS99" s="183"/>
      <c r="AT99" s="183"/>
      <c r="AU99" s="183"/>
      <c r="AV99" s="183"/>
      <c r="AW99" s="186">
        <f t="shared" si="24"/>
        <v>-2.2664167968335973E-2</v>
      </c>
      <c r="AX99" s="223">
        <f t="shared" si="20"/>
        <v>-3.0218890624447964E-2</v>
      </c>
      <c r="AY99" s="221"/>
      <c r="AZ99" s="221"/>
      <c r="BA99" s="221"/>
    </row>
    <row r="100" spans="1:53" s="76" customFormat="1" ht="25.5">
      <c r="A100" s="54">
        <f t="shared" si="25"/>
        <v>91</v>
      </c>
      <c r="B100" s="55" t="s">
        <v>204</v>
      </c>
      <c r="C100" s="56" t="s">
        <v>205</v>
      </c>
      <c r="D100" s="55" t="s">
        <v>57</v>
      </c>
      <c r="E100" s="55" t="s">
        <v>58</v>
      </c>
      <c r="F100" s="55"/>
      <c r="G100" s="55"/>
      <c r="H100" s="58">
        <v>43647</v>
      </c>
      <c r="I100" s="58">
        <v>43647</v>
      </c>
      <c r="J100" s="60">
        <v>5000000</v>
      </c>
      <c r="K100" s="61">
        <v>7.7499999999999999E-2</v>
      </c>
      <c r="L100" s="62">
        <v>0.9</v>
      </c>
      <c r="M100" s="63">
        <v>5</v>
      </c>
      <c r="N100" s="62">
        <v>12</v>
      </c>
      <c r="O100" s="63">
        <f t="shared" si="26"/>
        <v>145312.5</v>
      </c>
      <c r="P100" s="63">
        <f t="shared" si="27"/>
        <v>3033280.3294915948</v>
      </c>
      <c r="Q100" s="63">
        <f t="shared" si="28"/>
        <v>88154.709575849469</v>
      </c>
      <c r="R100" s="63">
        <f t="shared" si="29"/>
        <v>57157.790424150531</v>
      </c>
      <c r="S100" s="64">
        <v>0.606656065898319</v>
      </c>
      <c r="T100" s="63"/>
      <c r="U100" s="62"/>
      <c r="V100" s="63">
        <f t="shared" si="21"/>
        <v>3033280.3294915948</v>
      </c>
      <c r="W100" s="63">
        <f t="shared" si="21"/>
        <v>88154.709575849469</v>
      </c>
      <c r="X100" s="65">
        <f t="shared" si="22"/>
        <v>3033280.3294915948</v>
      </c>
      <c r="Y100" s="65">
        <f t="shared" si="22"/>
        <v>88154.709575849469</v>
      </c>
      <c r="Z100" s="91"/>
      <c r="AA100" s="91">
        <v>71504.84</v>
      </c>
      <c r="AB100" s="65">
        <f t="shared" si="30"/>
        <v>16649.869575849472</v>
      </c>
      <c r="AC100" s="66">
        <v>0</v>
      </c>
      <c r="AD100" s="66">
        <f t="shared" si="15"/>
        <v>318277.07671874738</v>
      </c>
      <c r="AE100" s="66"/>
      <c r="AF100" s="67"/>
      <c r="AG100" s="67"/>
      <c r="AH100" s="68"/>
      <c r="AI100" s="68"/>
      <c r="AJ100" s="69"/>
      <c r="AK100" s="67">
        <f t="shared" si="23"/>
        <v>16649.869575849472</v>
      </c>
      <c r="AL100" s="67"/>
      <c r="AM100" s="67"/>
      <c r="AN100" s="67"/>
      <c r="AO100" s="67">
        <f t="shared" si="19"/>
        <v>16649.869575849472</v>
      </c>
      <c r="AP100" s="70">
        <f t="shared" si="17"/>
        <v>358061.71130859083</v>
      </c>
      <c r="AQ100" s="70"/>
      <c r="AR100" s="70"/>
      <c r="AS100" s="71"/>
      <c r="AT100" s="72"/>
      <c r="AU100" s="72"/>
      <c r="AV100" s="73"/>
      <c r="AW100" s="74">
        <f t="shared" si="24"/>
        <v>358061.71130859083</v>
      </c>
      <c r="AX100" s="74">
        <f t="shared" si="20"/>
        <v>477415.61507812107</v>
      </c>
      <c r="AY100" s="75"/>
      <c r="AZ100" s="75"/>
      <c r="BA100" s="75"/>
    </row>
    <row r="101" spans="1:53" s="222" customFormat="1" ht="25.5">
      <c r="A101" s="77">
        <f t="shared" si="25"/>
        <v>92</v>
      </c>
      <c r="B101" s="78" t="s">
        <v>206</v>
      </c>
      <c r="C101" s="79" t="s">
        <v>207</v>
      </c>
      <c r="D101" s="78" t="s">
        <v>57</v>
      </c>
      <c r="E101" s="80" t="s">
        <v>85</v>
      </c>
      <c r="F101" s="78"/>
      <c r="G101" s="78"/>
      <c r="H101" s="81">
        <v>43497</v>
      </c>
      <c r="I101" s="81">
        <v>43497</v>
      </c>
      <c r="J101" s="82">
        <v>20000000</v>
      </c>
      <c r="K101" s="117">
        <v>7.7499999999999999E-2</v>
      </c>
      <c r="L101" s="85">
        <v>0.9</v>
      </c>
      <c r="M101" s="83">
        <v>10</v>
      </c>
      <c r="N101" s="85">
        <v>12</v>
      </c>
      <c r="O101" s="83">
        <f t="shared" si="26"/>
        <v>1162500</v>
      </c>
      <c r="P101" s="83">
        <f t="shared" si="27"/>
        <v>12133121.317966379</v>
      </c>
      <c r="Q101" s="83">
        <f t="shared" si="28"/>
        <v>705237.67660679575</v>
      </c>
      <c r="R101" s="83">
        <f t="shared" si="29"/>
        <v>457262.32339320425</v>
      </c>
      <c r="S101" s="84">
        <v>0.606656065898319</v>
      </c>
      <c r="T101" s="83">
        <v>60000000</v>
      </c>
      <c r="U101" s="94">
        <f>3487500-U102-U103-U104</f>
        <v>2253334.0699999998</v>
      </c>
      <c r="V101" s="83">
        <f t="shared" si="21"/>
        <v>-47866878.682033621</v>
      </c>
      <c r="W101" s="83">
        <f t="shared" si="21"/>
        <v>-1548096.3933932041</v>
      </c>
      <c r="X101" s="86">
        <f t="shared" si="22"/>
        <v>-47866878.682033621</v>
      </c>
      <c r="Y101" s="86">
        <f t="shared" si="22"/>
        <v>-1548096.3933932041</v>
      </c>
      <c r="Z101" s="86"/>
      <c r="AA101" s="86"/>
      <c r="AB101" s="86">
        <f t="shared" si="30"/>
        <v>-1548096.3933932041</v>
      </c>
      <c r="AC101" s="87">
        <v>-26633916.375592455</v>
      </c>
      <c r="AD101" s="87">
        <f t="shared" si="15"/>
        <v>-29593240.49497164</v>
      </c>
      <c r="AE101" s="87"/>
      <c r="AF101" s="88"/>
      <c r="AG101" s="88"/>
      <c r="AH101" s="88"/>
      <c r="AI101" s="88"/>
      <c r="AJ101" s="88"/>
      <c r="AK101" s="130">
        <f t="shared" si="23"/>
        <v>-1548096.3933932041</v>
      </c>
      <c r="AL101" s="130"/>
      <c r="AM101" s="130"/>
      <c r="AN101" s="130"/>
      <c r="AO101" s="130">
        <f t="shared" si="19"/>
        <v>-1548096.3933932041</v>
      </c>
      <c r="AP101" s="89">
        <f t="shared" si="17"/>
        <v>-33292395.556843098</v>
      </c>
      <c r="AQ101" s="182"/>
      <c r="AR101" s="182"/>
      <c r="AS101" s="183"/>
      <c r="AT101" s="183"/>
      <c r="AU101" s="183"/>
      <c r="AV101" s="183"/>
      <c r="AW101" s="186">
        <f t="shared" si="24"/>
        <v>-33292395.556843098</v>
      </c>
      <c r="AX101" s="223">
        <f t="shared" si="20"/>
        <v>-44389860.742457464</v>
      </c>
      <c r="AY101" s="221"/>
      <c r="AZ101" s="221"/>
      <c r="BA101" s="221"/>
    </row>
    <row r="102" spans="1:53" s="222" customFormat="1" ht="25.5">
      <c r="A102" s="77">
        <f t="shared" si="25"/>
        <v>93</v>
      </c>
      <c r="B102" s="78" t="s">
        <v>206</v>
      </c>
      <c r="C102" s="79" t="s">
        <v>207</v>
      </c>
      <c r="D102" s="78" t="s">
        <v>57</v>
      </c>
      <c r="E102" s="80" t="s">
        <v>85</v>
      </c>
      <c r="F102" s="78"/>
      <c r="G102" s="78"/>
      <c r="H102" s="81">
        <v>43525</v>
      </c>
      <c r="I102" s="81">
        <v>43525</v>
      </c>
      <c r="J102" s="82">
        <v>20000000</v>
      </c>
      <c r="K102" s="117">
        <v>7.7499999999999999E-2</v>
      </c>
      <c r="L102" s="85">
        <v>0.9</v>
      </c>
      <c r="M102" s="83">
        <v>9</v>
      </c>
      <c r="N102" s="85">
        <v>12</v>
      </c>
      <c r="O102" s="83">
        <f t="shared" si="26"/>
        <v>1046250</v>
      </c>
      <c r="P102" s="83">
        <f t="shared" si="27"/>
        <v>12133121.317966379</v>
      </c>
      <c r="Q102" s="83">
        <f t="shared" si="28"/>
        <v>634713.90894611622</v>
      </c>
      <c r="R102" s="83">
        <f t="shared" si="29"/>
        <v>411536.09105388378</v>
      </c>
      <c r="S102" s="84">
        <v>0.606656065898319</v>
      </c>
      <c r="T102" s="83"/>
      <c r="U102" s="85">
        <v>634713.91</v>
      </c>
      <c r="V102" s="83">
        <f t="shared" si="21"/>
        <v>12133121.317966379</v>
      </c>
      <c r="W102" s="83">
        <f t="shared" si="21"/>
        <v>-1.0538838105276227E-3</v>
      </c>
      <c r="X102" s="86">
        <f t="shared" si="22"/>
        <v>12133121.317966379</v>
      </c>
      <c r="Y102" s="86">
        <f t="shared" si="22"/>
        <v>-1.0538838105276227E-3</v>
      </c>
      <c r="Z102" s="93"/>
      <c r="AA102" s="93"/>
      <c r="AB102" s="86">
        <f t="shared" si="30"/>
        <v>-1.0538838105276227E-3</v>
      </c>
      <c r="AC102" s="87">
        <v>0</v>
      </c>
      <c r="AD102" s="87">
        <f t="shared" si="15"/>
        <v>-2.0145927082965309E-2</v>
      </c>
      <c r="AE102" s="87"/>
      <c r="AF102" s="88"/>
      <c r="AG102" s="88"/>
      <c r="AH102" s="88"/>
      <c r="AI102" s="88"/>
      <c r="AJ102" s="88"/>
      <c r="AK102" s="130">
        <f t="shared" si="23"/>
        <v>-1.0538838105276227E-3</v>
      </c>
      <c r="AL102" s="130"/>
      <c r="AM102" s="130"/>
      <c r="AN102" s="130"/>
      <c r="AO102" s="130">
        <f t="shared" si="19"/>
        <v>-1.0538838105276227E-3</v>
      </c>
      <c r="AP102" s="89">
        <f t="shared" si="17"/>
        <v>-2.2664167968335973E-2</v>
      </c>
      <c r="AQ102" s="182"/>
      <c r="AR102" s="182"/>
      <c r="AS102" s="183"/>
      <c r="AT102" s="183"/>
      <c r="AU102" s="183"/>
      <c r="AV102" s="183"/>
      <c r="AW102" s="186">
        <f t="shared" si="24"/>
        <v>-2.2664167968335973E-2</v>
      </c>
      <c r="AX102" s="223">
        <f t="shared" si="20"/>
        <v>-3.0218890624447964E-2</v>
      </c>
      <c r="AY102" s="221"/>
      <c r="AZ102" s="221"/>
      <c r="BA102" s="221"/>
    </row>
    <row r="103" spans="1:53" s="222" customFormat="1" ht="25.5">
      <c r="A103" s="77">
        <f t="shared" si="25"/>
        <v>94</v>
      </c>
      <c r="B103" s="78" t="s">
        <v>206</v>
      </c>
      <c r="C103" s="79" t="s">
        <v>207</v>
      </c>
      <c r="D103" s="78" t="s">
        <v>57</v>
      </c>
      <c r="E103" s="80" t="s">
        <v>85</v>
      </c>
      <c r="F103" s="78"/>
      <c r="G103" s="78"/>
      <c r="H103" s="81">
        <v>43586</v>
      </c>
      <c r="I103" s="81">
        <v>43586</v>
      </c>
      <c r="J103" s="82">
        <v>20000000</v>
      </c>
      <c r="K103" s="117">
        <v>7.7499999999999999E-2</v>
      </c>
      <c r="L103" s="85">
        <v>0.9</v>
      </c>
      <c r="M103" s="83">
        <v>7</v>
      </c>
      <c r="N103" s="85">
        <v>12</v>
      </c>
      <c r="O103" s="83">
        <f t="shared" si="26"/>
        <v>813750</v>
      </c>
      <c r="P103" s="83">
        <f t="shared" si="27"/>
        <v>12133121.317966379</v>
      </c>
      <c r="Q103" s="83">
        <f t="shared" si="28"/>
        <v>493666.37362475699</v>
      </c>
      <c r="R103" s="83">
        <f t="shared" si="29"/>
        <v>320083.62637524301</v>
      </c>
      <c r="S103" s="84">
        <v>0.606656065898319</v>
      </c>
      <c r="T103" s="83"/>
      <c r="U103" s="85">
        <v>493666.37</v>
      </c>
      <c r="V103" s="83">
        <f t="shared" si="21"/>
        <v>12133121.317966379</v>
      </c>
      <c r="W103" s="83">
        <f t="shared" si="21"/>
        <v>3.6247569951228797E-3</v>
      </c>
      <c r="X103" s="86">
        <f t="shared" si="22"/>
        <v>12133121.317966379</v>
      </c>
      <c r="Y103" s="86">
        <f t="shared" si="22"/>
        <v>3.6247569951228797E-3</v>
      </c>
      <c r="Z103" s="93"/>
      <c r="AA103" s="93"/>
      <c r="AB103" s="86">
        <f t="shared" si="30"/>
        <v>3.6247569951228797E-3</v>
      </c>
      <c r="AC103" s="87">
        <v>0</v>
      </c>
      <c r="AD103" s="87">
        <f t="shared" si="15"/>
        <v>6.9290456298645262E-2</v>
      </c>
      <c r="AE103" s="87"/>
      <c r="AF103" s="88"/>
      <c r="AG103" s="88"/>
      <c r="AH103" s="88"/>
      <c r="AI103" s="88"/>
      <c r="AJ103" s="88"/>
      <c r="AK103" s="130">
        <f t="shared" si="23"/>
        <v>3.6247569951228797E-3</v>
      </c>
      <c r="AL103" s="130"/>
      <c r="AM103" s="130"/>
      <c r="AN103" s="130"/>
      <c r="AO103" s="130">
        <f t="shared" si="19"/>
        <v>3.6247569951228797E-3</v>
      </c>
      <c r="AP103" s="119">
        <f t="shared" si="17"/>
        <v>7.7951763335975921E-2</v>
      </c>
      <c r="AQ103" s="182"/>
      <c r="AR103" s="182"/>
      <c r="AS103" s="183"/>
      <c r="AT103" s="183"/>
      <c r="AU103" s="183"/>
      <c r="AV103" s="183"/>
      <c r="AW103" s="186">
        <f t="shared" si="24"/>
        <v>7.7951763335975921E-2</v>
      </c>
      <c r="AX103" s="186">
        <f t="shared" si="20"/>
        <v>0.10393568444796789</v>
      </c>
      <c r="AY103" s="221"/>
      <c r="AZ103" s="221"/>
      <c r="BA103" s="221"/>
    </row>
    <row r="104" spans="1:53" s="222" customFormat="1" ht="25.5">
      <c r="A104" s="77">
        <f t="shared" si="25"/>
        <v>95</v>
      </c>
      <c r="B104" s="78" t="s">
        <v>206</v>
      </c>
      <c r="C104" s="79" t="s">
        <v>207</v>
      </c>
      <c r="D104" s="78" t="s">
        <v>57</v>
      </c>
      <c r="E104" s="80" t="s">
        <v>85</v>
      </c>
      <c r="F104" s="78"/>
      <c r="G104" s="78"/>
      <c r="H104" s="81">
        <v>43770</v>
      </c>
      <c r="I104" s="81">
        <v>43770</v>
      </c>
      <c r="J104" s="82">
        <v>30000000</v>
      </c>
      <c r="K104" s="117">
        <v>7.7499999999999999E-2</v>
      </c>
      <c r="L104" s="85">
        <v>0.9</v>
      </c>
      <c r="M104" s="83">
        <v>1</v>
      </c>
      <c r="N104" s="85">
        <v>12</v>
      </c>
      <c r="O104" s="83">
        <f t="shared" si="26"/>
        <v>174375</v>
      </c>
      <c r="P104" s="83">
        <f t="shared" si="27"/>
        <v>18199681.976949569</v>
      </c>
      <c r="Q104" s="83">
        <f t="shared" si="28"/>
        <v>105785.65149101937</v>
      </c>
      <c r="R104" s="83">
        <f t="shared" si="29"/>
        <v>68589.348508980635</v>
      </c>
      <c r="S104" s="84">
        <v>0.606656065898319</v>
      </c>
      <c r="T104" s="83"/>
      <c r="U104" s="85">
        <v>105785.65</v>
      </c>
      <c r="V104" s="83">
        <f t="shared" si="21"/>
        <v>18199681.976949569</v>
      </c>
      <c r="W104" s="83">
        <f t="shared" si="21"/>
        <v>1.4910193713149056E-3</v>
      </c>
      <c r="X104" s="86">
        <f t="shared" si="22"/>
        <v>18199681.976949569</v>
      </c>
      <c r="Y104" s="86">
        <f t="shared" si="22"/>
        <v>1.4910193713149056E-3</v>
      </c>
      <c r="Z104" s="93"/>
      <c r="AA104" s="93"/>
      <c r="AB104" s="86">
        <f t="shared" si="30"/>
        <v>1.4910193713149056E-3</v>
      </c>
      <c r="AC104" s="87">
        <v>0</v>
      </c>
      <c r="AD104" s="87">
        <f t="shared" si="15"/>
        <v>2.8502162414621855E-2</v>
      </c>
      <c r="AE104" s="87"/>
      <c r="AF104" s="88"/>
      <c r="AG104" s="88"/>
      <c r="AH104" s="88"/>
      <c r="AI104" s="88"/>
      <c r="AJ104" s="88"/>
      <c r="AK104" s="130">
        <f t="shared" si="23"/>
        <v>1.4910193713149056E-3</v>
      </c>
      <c r="AL104" s="130"/>
      <c r="AM104" s="130"/>
      <c r="AN104" s="130"/>
      <c r="AO104" s="130">
        <f t="shared" si="19"/>
        <v>1.4910193713149056E-3</v>
      </c>
      <c r="AP104" s="119">
        <f t="shared" si="17"/>
        <v>3.2064932716449585E-2</v>
      </c>
      <c r="AQ104" s="182"/>
      <c r="AR104" s="182"/>
      <c r="AS104" s="183"/>
      <c r="AT104" s="183"/>
      <c r="AU104" s="183"/>
      <c r="AV104" s="183"/>
      <c r="AW104" s="186">
        <f t="shared" si="24"/>
        <v>3.2064932716449585E-2</v>
      </c>
      <c r="AX104" s="186">
        <f t="shared" si="20"/>
        <v>4.2753243621932779E-2</v>
      </c>
      <c r="AY104" s="221"/>
      <c r="AZ104" s="221"/>
      <c r="BA104" s="221"/>
    </row>
    <row r="105" spans="1:53" s="222" customFormat="1" ht="25.5">
      <c r="A105" s="77">
        <f t="shared" si="25"/>
        <v>96</v>
      </c>
      <c r="B105" s="78" t="s">
        <v>206</v>
      </c>
      <c r="C105" s="79" t="s">
        <v>207</v>
      </c>
      <c r="D105" s="78" t="s">
        <v>105</v>
      </c>
      <c r="E105" s="80" t="s">
        <v>85</v>
      </c>
      <c r="F105" s="78"/>
      <c r="G105" s="78"/>
      <c r="H105" s="81">
        <v>43800</v>
      </c>
      <c r="I105" s="81">
        <v>43800</v>
      </c>
      <c r="J105" s="82">
        <v>10000000</v>
      </c>
      <c r="K105" s="117">
        <v>7.7499999999999999E-2</v>
      </c>
      <c r="L105" s="85">
        <v>0.9</v>
      </c>
      <c r="M105" s="83">
        <v>0</v>
      </c>
      <c r="N105" s="85">
        <v>12</v>
      </c>
      <c r="O105" s="83">
        <f t="shared" si="26"/>
        <v>0</v>
      </c>
      <c r="P105" s="83">
        <f t="shared" si="27"/>
        <v>6066560.6589831896</v>
      </c>
      <c r="Q105" s="83">
        <f t="shared" si="28"/>
        <v>0</v>
      </c>
      <c r="R105" s="83">
        <f t="shared" si="29"/>
        <v>0</v>
      </c>
      <c r="S105" s="84">
        <v>0.606656065898319</v>
      </c>
      <c r="T105" s="83"/>
      <c r="U105" s="85"/>
      <c r="V105" s="83">
        <f t="shared" si="21"/>
        <v>6066560.6589831896</v>
      </c>
      <c r="W105" s="83">
        <f t="shared" si="21"/>
        <v>0</v>
      </c>
      <c r="X105" s="86">
        <f t="shared" si="22"/>
        <v>6066560.6589831896</v>
      </c>
      <c r="Y105" s="86">
        <f t="shared" si="22"/>
        <v>0</v>
      </c>
      <c r="Z105" s="93"/>
      <c r="AA105" s="93"/>
      <c r="AB105" s="86">
        <f t="shared" si="30"/>
        <v>0</v>
      </c>
      <c r="AC105" s="87">
        <v>0</v>
      </c>
      <c r="AD105" s="87">
        <f t="shared" si="15"/>
        <v>0</v>
      </c>
      <c r="AE105" s="87"/>
      <c r="AF105" s="88"/>
      <c r="AG105" s="88"/>
      <c r="AH105" s="88"/>
      <c r="AI105" s="88"/>
      <c r="AJ105" s="88"/>
      <c r="AK105" s="130">
        <f t="shared" si="23"/>
        <v>0</v>
      </c>
      <c r="AL105" s="130"/>
      <c r="AM105" s="130"/>
      <c r="AN105" s="130"/>
      <c r="AO105" s="130">
        <f t="shared" si="19"/>
        <v>0</v>
      </c>
      <c r="AP105" s="119">
        <f t="shared" si="17"/>
        <v>0</v>
      </c>
      <c r="AQ105" s="182"/>
      <c r="AR105" s="182"/>
      <c r="AS105" s="183"/>
      <c r="AT105" s="183"/>
      <c r="AU105" s="183"/>
      <c r="AV105" s="183"/>
      <c r="AW105" s="186">
        <f t="shared" si="24"/>
        <v>0</v>
      </c>
      <c r="AX105" s="186">
        <f t="shared" si="20"/>
        <v>0</v>
      </c>
      <c r="AY105" s="221"/>
      <c r="AZ105" s="221"/>
      <c r="BA105" s="221"/>
    </row>
    <row r="106" spans="1:53" s="76" customFormat="1" ht="25.5">
      <c r="A106" s="54">
        <f t="shared" si="25"/>
        <v>97</v>
      </c>
      <c r="B106" s="55" t="s">
        <v>208</v>
      </c>
      <c r="C106" s="56" t="s">
        <v>209</v>
      </c>
      <c r="D106" s="55" t="s">
        <v>57</v>
      </c>
      <c r="E106" s="55" t="s">
        <v>58</v>
      </c>
      <c r="F106" s="55"/>
      <c r="G106" s="55"/>
      <c r="H106" s="58">
        <v>43525</v>
      </c>
      <c r="I106" s="59" t="s">
        <v>81</v>
      </c>
      <c r="J106" s="60">
        <v>1000000</v>
      </c>
      <c r="K106" s="61">
        <v>7.7499999999999999E-2</v>
      </c>
      <c r="L106" s="62">
        <v>0.9</v>
      </c>
      <c r="M106" s="63">
        <v>9</v>
      </c>
      <c r="N106" s="62">
        <v>12</v>
      </c>
      <c r="O106" s="63">
        <f t="shared" si="26"/>
        <v>52312.5</v>
      </c>
      <c r="P106" s="63">
        <f t="shared" si="27"/>
        <v>606656.06589831901</v>
      </c>
      <c r="Q106" s="63">
        <f t="shared" si="28"/>
        <v>31735.695447305814</v>
      </c>
      <c r="R106" s="63">
        <f t="shared" si="29"/>
        <v>20576.804552694186</v>
      </c>
      <c r="S106" s="64">
        <v>0.606656065898319</v>
      </c>
      <c r="T106" s="63"/>
      <c r="U106" s="62"/>
      <c r="V106" s="63">
        <f t="shared" si="21"/>
        <v>606656.06589831901</v>
      </c>
      <c r="W106" s="63">
        <f t="shared" si="21"/>
        <v>31735.695447305814</v>
      </c>
      <c r="X106" s="65">
        <f t="shared" si="22"/>
        <v>606656.06589831901</v>
      </c>
      <c r="Y106" s="65">
        <f t="shared" si="22"/>
        <v>31735.695447305814</v>
      </c>
      <c r="Z106" s="65"/>
      <c r="AA106" s="65"/>
      <c r="AB106" s="65">
        <f t="shared" si="30"/>
        <v>31735.695447305814</v>
      </c>
      <c r="AC106" s="66">
        <v>1091980.9186169743</v>
      </c>
      <c r="AD106" s="66">
        <f t="shared" si="15"/>
        <v>606656.06589831901</v>
      </c>
      <c r="AE106" s="66"/>
      <c r="AF106" s="67"/>
      <c r="AG106" s="67"/>
      <c r="AH106" s="68"/>
      <c r="AI106" s="68"/>
      <c r="AJ106" s="69"/>
      <c r="AK106" s="67">
        <f t="shared" si="23"/>
        <v>31735.695447305814</v>
      </c>
      <c r="AL106" s="67"/>
      <c r="AM106" s="67"/>
      <c r="AN106" s="67"/>
      <c r="AO106" s="67">
        <f t="shared" si="19"/>
        <v>31735.695447305814</v>
      </c>
      <c r="AP106" s="70">
        <f t="shared" si="17"/>
        <v>682488.07413560885</v>
      </c>
      <c r="AQ106" s="70"/>
      <c r="AR106" s="70"/>
      <c r="AS106" s="71"/>
      <c r="AT106" s="72"/>
      <c r="AU106" s="72"/>
      <c r="AV106" s="73"/>
      <c r="AW106" s="74">
        <f t="shared" si="24"/>
        <v>682488.07413560885</v>
      </c>
      <c r="AX106" s="74">
        <f t="shared" si="20"/>
        <v>909984.09884747851</v>
      </c>
      <c r="AY106" s="75"/>
      <c r="AZ106" s="75"/>
      <c r="BA106" s="75"/>
    </row>
    <row r="107" spans="1:53" s="230" customFormat="1" ht="25.5">
      <c r="A107" s="120">
        <f t="shared" si="25"/>
        <v>98</v>
      </c>
      <c r="B107" s="80" t="s">
        <v>208</v>
      </c>
      <c r="C107" s="121" t="s">
        <v>209</v>
      </c>
      <c r="D107" s="80" t="s">
        <v>105</v>
      </c>
      <c r="E107" s="80" t="s">
        <v>58</v>
      </c>
      <c r="F107" s="80"/>
      <c r="G107" s="80"/>
      <c r="H107" s="122">
        <v>43525</v>
      </c>
      <c r="I107" s="231" t="s">
        <v>112</v>
      </c>
      <c r="J107" s="123">
        <v>1000000</v>
      </c>
      <c r="K107" s="124">
        <v>7.7499999999999999E-2</v>
      </c>
      <c r="L107" s="125">
        <v>0.9</v>
      </c>
      <c r="M107" s="126">
        <v>9</v>
      </c>
      <c r="N107" s="125">
        <v>12</v>
      </c>
      <c r="O107" s="126">
        <f t="shared" si="26"/>
        <v>52312.5</v>
      </c>
      <c r="P107" s="126">
        <f t="shared" si="27"/>
        <v>606656.06589831901</v>
      </c>
      <c r="Q107" s="126">
        <f t="shared" si="28"/>
        <v>31735.695447305814</v>
      </c>
      <c r="R107" s="126">
        <f t="shared" si="29"/>
        <v>20576.804552694186</v>
      </c>
      <c r="S107" s="127">
        <v>0.606656065898319</v>
      </c>
      <c r="T107" s="126"/>
      <c r="U107" s="125"/>
      <c r="V107" s="126">
        <f t="shared" si="21"/>
        <v>606656.06589831901</v>
      </c>
      <c r="W107" s="126">
        <f t="shared" si="21"/>
        <v>31735.695447305814</v>
      </c>
      <c r="X107" s="128">
        <f t="shared" si="22"/>
        <v>606656.06589831901</v>
      </c>
      <c r="Y107" s="128">
        <f t="shared" si="22"/>
        <v>31735.695447305814</v>
      </c>
      <c r="Z107" s="238"/>
      <c r="AA107" s="238"/>
      <c r="AB107" s="128">
        <f t="shared" si="30"/>
        <v>31735.695447305814</v>
      </c>
      <c r="AC107" s="129">
        <v>0</v>
      </c>
      <c r="AD107" s="129">
        <f t="shared" si="15"/>
        <v>606656.06589831901</v>
      </c>
      <c r="AE107" s="129"/>
      <c r="AF107" s="130">
        <v>-31735.7</v>
      </c>
      <c r="AG107" s="130"/>
      <c r="AH107" s="130"/>
      <c r="AI107" s="130"/>
      <c r="AJ107" s="130"/>
      <c r="AK107" s="130">
        <f t="shared" si="23"/>
        <v>-4.5526941867137793E-3</v>
      </c>
      <c r="AL107" s="130"/>
      <c r="AM107" s="130"/>
      <c r="AN107" s="130"/>
      <c r="AO107" s="130">
        <f t="shared" si="19"/>
        <v>-4.5526941867137793E-3</v>
      </c>
      <c r="AP107" s="119">
        <f t="shared" si="17"/>
        <v>682488.07413560885</v>
      </c>
      <c r="AQ107" s="119"/>
      <c r="AR107" s="89">
        <v>-682488.07</v>
      </c>
      <c r="AS107" s="185"/>
      <c r="AT107" s="185"/>
      <c r="AU107" s="185"/>
      <c r="AV107" s="185"/>
      <c r="AW107" s="186">
        <f t="shared" si="24"/>
        <v>4.1356089059263468E-3</v>
      </c>
      <c r="AX107" s="223">
        <f t="shared" si="20"/>
        <v>-0.13054320248641663</v>
      </c>
      <c r="AY107" s="229"/>
      <c r="AZ107" s="229"/>
      <c r="BA107" s="229"/>
    </row>
    <row r="108" spans="1:53" s="230" customFormat="1" ht="25.5">
      <c r="A108" s="120">
        <f t="shared" si="25"/>
        <v>99</v>
      </c>
      <c r="B108" s="80" t="s">
        <v>210</v>
      </c>
      <c r="C108" s="121" t="s">
        <v>211</v>
      </c>
      <c r="D108" s="80" t="s">
        <v>57</v>
      </c>
      <c r="E108" s="80" t="s">
        <v>58</v>
      </c>
      <c r="F108" s="80"/>
      <c r="G108" s="80"/>
      <c r="H108" s="122">
        <v>43525</v>
      </c>
      <c r="I108" s="122" t="s">
        <v>102</v>
      </c>
      <c r="J108" s="123">
        <v>1000000</v>
      </c>
      <c r="K108" s="124">
        <v>7.7499999999999999E-2</v>
      </c>
      <c r="L108" s="125">
        <v>0.9</v>
      </c>
      <c r="M108" s="126">
        <v>9</v>
      </c>
      <c r="N108" s="125">
        <v>12</v>
      </c>
      <c r="O108" s="126">
        <f t="shared" si="26"/>
        <v>52312.5</v>
      </c>
      <c r="P108" s="126">
        <f t="shared" si="27"/>
        <v>606656.06589831901</v>
      </c>
      <c r="Q108" s="126">
        <f t="shared" si="28"/>
        <v>31735.695447305814</v>
      </c>
      <c r="R108" s="126">
        <f t="shared" si="29"/>
        <v>20576.804552694186</v>
      </c>
      <c r="S108" s="127">
        <v>0.606656065898319</v>
      </c>
      <c r="T108" s="126"/>
      <c r="U108" s="125"/>
      <c r="V108" s="126">
        <f t="shared" si="21"/>
        <v>606656.06589831901</v>
      </c>
      <c r="W108" s="126">
        <f t="shared" si="21"/>
        <v>31735.695447305814</v>
      </c>
      <c r="X108" s="128">
        <f t="shared" si="22"/>
        <v>606656.06589831901</v>
      </c>
      <c r="Y108" s="128">
        <f t="shared" si="22"/>
        <v>31735.695447305814</v>
      </c>
      <c r="Z108" s="128"/>
      <c r="AA108" s="128"/>
      <c r="AB108" s="128">
        <f t="shared" si="30"/>
        <v>31735.695447305814</v>
      </c>
      <c r="AC108" s="129">
        <v>545990.45930848713</v>
      </c>
      <c r="AD108" s="129">
        <f t="shared" si="15"/>
        <v>606656.06589831901</v>
      </c>
      <c r="AE108" s="129"/>
      <c r="AF108" s="130"/>
      <c r="AG108" s="130"/>
      <c r="AH108" s="130"/>
      <c r="AI108" s="130"/>
      <c r="AJ108" s="130"/>
      <c r="AK108" s="130">
        <f t="shared" si="23"/>
        <v>31735.695447305814</v>
      </c>
      <c r="AL108" s="130"/>
      <c r="AM108" s="239">
        <v>58372.15</v>
      </c>
      <c r="AN108" s="240"/>
      <c r="AO108" s="130">
        <f t="shared" si="19"/>
        <v>-26636.454552694187</v>
      </c>
      <c r="AP108" s="119">
        <f t="shared" si="17"/>
        <v>682488.07413560885</v>
      </c>
      <c r="AQ108" s="119"/>
      <c r="AR108" s="119"/>
      <c r="AS108" s="185"/>
      <c r="AT108" s="185"/>
      <c r="AU108" s="185"/>
      <c r="AV108" s="185"/>
      <c r="AW108" s="186">
        <f t="shared" si="24"/>
        <v>682488.07413560885</v>
      </c>
      <c r="AX108" s="223">
        <f t="shared" si="20"/>
        <v>-763769.30617044261</v>
      </c>
      <c r="AY108" s="229"/>
      <c r="AZ108" s="237">
        <v>2000000</v>
      </c>
      <c r="BA108" s="229"/>
    </row>
    <row r="109" spans="1:53" s="76" customFormat="1" ht="25.5">
      <c r="A109" s="54">
        <f t="shared" si="25"/>
        <v>100</v>
      </c>
      <c r="B109" s="55" t="s">
        <v>212</v>
      </c>
      <c r="C109" s="56" t="s">
        <v>213</v>
      </c>
      <c r="D109" s="169" t="s">
        <v>214</v>
      </c>
      <c r="E109" s="55" t="s">
        <v>58</v>
      </c>
      <c r="F109" s="55"/>
      <c r="G109" s="55"/>
      <c r="H109" s="58">
        <v>43525</v>
      </c>
      <c r="I109" s="59" t="s">
        <v>215</v>
      </c>
      <c r="J109" s="60">
        <v>10000000</v>
      </c>
      <c r="K109" s="61">
        <v>7.7499999999999999E-2</v>
      </c>
      <c r="L109" s="62">
        <v>0.9</v>
      </c>
      <c r="M109" s="63">
        <v>9</v>
      </c>
      <c r="N109" s="62">
        <v>12</v>
      </c>
      <c r="O109" s="63">
        <f t="shared" si="26"/>
        <v>523125</v>
      </c>
      <c r="P109" s="63">
        <f t="shared" si="27"/>
        <v>6066560.6589831896</v>
      </c>
      <c r="Q109" s="63">
        <f t="shared" si="28"/>
        <v>317356.95447305811</v>
      </c>
      <c r="R109" s="63">
        <f t="shared" si="29"/>
        <v>205768.04552694189</v>
      </c>
      <c r="S109" s="64">
        <v>0.606656065898319</v>
      </c>
      <c r="T109" s="63"/>
      <c r="U109" s="62"/>
      <c r="V109" s="63">
        <f t="shared" si="21"/>
        <v>6066560.6589831896</v>
      </c>
      <c r="W109" s="63">
        <f t="shared" si="21"/>
        <v>317356.95447305811</v>
      </c>
      <c r="X109" s="65">
        <f t="shared" si="22"/>
        <v>6066560.6589831896</v>
      </c>
      <c r="Y109" s="65">
        <f t="shared" si="22"/>
        <v>317356.95447305811</v>
      </c>
      <c r="Z109" s="65"/>
      <c r="AA109" s="65"/>
      <c r="AB109" s="65">
        <f t="shared" si="30"/>
        <v>317356.95447305811</v>
      </c>
      <c r="AC109" s="66">
        <v>6551885.5117018456</v>
      </c>
      <c r="AD109" s="66">
        <f t="shared" si="15"/>
        <v>6066560.6589831896</v>
      </c>
      <c r="AE109" s="66"/>
      <c r="AF109" s="67"/>
      <c r="AG109" s="67"/>
      <c r="AH109" s="68"/>
      <c r="AI109" s="68"/>
      <c r="AJ109" s="69"/>
      <c r="AK109" s="67">
        <f t="shared" si="23"/>
        <v>317356.95447305811</v>
      </c>
      <c r="AL109" s="67"/>
      <c r="AM109" s="67"/>
      <c r="AN109" s="67"/>
      <c r="AO109" s="67">
        <f t="shared" si="19"/>
        <v>317356.95447305811</v>
      </c>
      <c r="AP109" s="70">
        <f t="shared" si="17"/>
        <v>6824880.7413560878</v>
      </c>
      <c r="AQ109" s="70"/>
      <c r="AR109" s="70"/>
      <c r="AS109" s="71"/>
      <c r="AT109" s="72"/>
      <c r="AU109" s="72"/>
      <c r="AV109" s="73"/>
      <c r="AW109" s="74">
        <f t="shared" si="24"/>
        <v>6824880.7413560878</v>
      </c>
      <c r="AX109" s="74">
        <f t="shared" si="20"/>
        <v>9099840.9884747844</v>
      </c>
      <c r="AY109" s="75"/>
      <c r="AZ109" s="75"/>
      <c r="BA109" s="75"/>
    </row>
    <row r="110" spans="1:53" s="76" customFormat="1" ht="25.5">
      <c r="A110" s="54">
        <f t="shared" si="25"/>
        <v>101</v>
      </c>
      <c r="B110" s="55" t="s">
        <v>212</v>
      </c>
      <c r="C110" s="56" t="s">
        <v>213</v>
      </c>
      <c r="D110" s="55" t="s">
        <v>105</v>
      </c>
      <c r="E110" s="55" t="s">
        <v>58</v>
      </c>
      <c r="F110" s="55"/>
      <c r="G110" s="55"/>
      <c r="H110" s="58">
        <v>43525</v>
      </c>
      <c r="I110" s="59" t="s">
        <v>216</v>
      </c>
      <c r="J110" s="60">
        <v>2000000</v>
      </c>
      <c r="K110" s="61">
        <v>7.7499999999999999E-2</v>
      </c>
      <c r="L110" s="62">
        <v>0.9</v>
      </c>
      <c r="M110" s="63">
        <v>9</v>
      </c>
      <c r="N110" s="62">
        <v>12</v>
      </c>
      <c r="O110" s="63">
        <f t="shared" si="26"/>
        <v>104625</v>
      </c>
      <c r="P110" s="63">
        <f t="shared" si="27"/>
        <v>1213312.131796638</v>
      </c>
      <c r="Q110" s="63">
        <f t="shared" si="28"/>
        <v>63471.390894611628</v>
      </c>
      <c r="R110" s="63">
        <f t="shared" si="29"/>
        <v>41153.609105388372</v>
      </c>
      <c r="S110" s="64">
        <v>0.606656065898319</v>
      </c>
      <c r="T110" s="63"/>
      <c r="U110" s="62"/>
      <c r="V110" s="63">
        <f t="shared" si="21"/>
        <v>1213312.131796638</v>
      </c>
      <c r="W110" s="63">
        <f t="shared" si="21"/>
        <v>63471.390894611628</v>
      </c>
      <c r="X110" s="65">
        <f t="shared" si="22"/>
        <v>1213312.131796638</v>
      </c>
      <c r="Y110" s="65">
        <f t="shared" si="22"/>
        <v>63471.390894611628</v>
      </c>
      <c r="Z110" s="91"/>
      <c r="AA110" s="91"/>
      <c r="AB110" s="65">
        <f t="shared" si="30"/>
        <v>63471.390894611628</v>
      </c>
      <c r="AC110" s="66">
        <v>0</v>
      </c>
      <c r="AD110" s="66">
        <f t="shared" si="15"/>
        <v>1213312.131796638</v>
      </c>
      <c r="AE110" s="66"/>
      <c r="AF110" s="67"/>
      <c r="AG110" s="67"/>
      <c r="AH110" s="68"/>
      <c r="AI110" s="68"/>
      <c r="AJ110" s="69"/>
      <c r="AK110" s="67">
        <f t="shared" si="23"/>
        <v>63471.390894611628</v>
      </c>
      <c r="AL110" s="67"/>
      <c r="AM110" s="67"/>
      <c r="AN110" s="67"/>
      <c r="AO110" s="67">
        <f t="shared" si="19"/>
        <v>63471.390894611628</v>
      </c>
      <c r="AP110" s="70">
        <f t="shared" si="17"/>
        <v>1364976.1482712177</v>
      </c>
      <c r="AQ110" s="70"/>
      <c r="AR110" s="70"/>
      <c r="AS110" s="71"/>
      <c r="AT110" s="72"/>
      <c r="AU110" s="72"/>
      <c r="AV110" s="73"/>
      <c r="AW110" s="74">
        <f t="shared" si="24"/>
        <v>1364976.1482712177</v>
      </c>
      <c r="AX110" s="74">
        <f t="shared" si="20"/>
        <v>1819968.197694957</v>
      </c>
      <c r="AY110" s="75"/>
      <c r="AZ110" s="75"/>
      <c r="BA110" s="75"/>
    </row>
    <row r="111" spans="1:53" s="222" customFormat="1" ht="25.5">
      <c r="A111" s="77">
        <f t="shared" si="25"/>
        <v>102</v>
      </c>
      <c r="B111" s="78" t="s">
        <v>217</v>
      </c>
      <c r="C111" s="79" t="s">
        <v>218</v>
      </c>
      <c r="D111" s="78" t="s">
        <v>57</v>
      </c>
      <c r="E111" s="80" t="s">
        <v>58</v>
      </c>
      <c r="F111" s="78"/>
      <c r="G111" s="78"/>
      <c r="H111" s="81">
        <v>43586</v>
      </c>
      <c r="I111" s="81">
        <v>43586</v>
      </c>
      <c r="J111" s="82">
        <v>1500000</v>
      </c>
      <c r="K111" s="117">
        <v>7.7499999999999999E-2</v>
      </c>
      <c r="L111" s="85">
        <v>0.9</v>
      </c>
      <c r="M111" s="83">
        <v>7</v>
      </c>
      <c r="N111" s="85">
        <v>12</v>
      </c>
      <c r="O111" s="83">
        <f t="shared" si="26"/>
        <v>61031.25</v>
      </c>
      <c r="P111" s="83">
        <f t="shared" si="27"/>
        <v>909984.09884747851</v>
      </c>
      <c r="Q111" s="83">
        <f t="shared" si="28"/>
        <v>37024.978021856783</v>
      </c>
      <c r="R111" s="83">
        <f t="shared" si="29"/>
        <v>24006.271978143217</v>
      </c>
      <c r="S111" s="84">
        <v>0.606656065898319</v>
      </c>
      <c r="T111" s="83"/>
      <c r="U111" s="85"/>
      <c r="V111" s="83">
        <f t="shared" si="21"/>
        <v>909984.09884747851</v>
      </c>
      <c r="W111" s="83">
        <f t="shared" si="21"/>
        <v>37024.978021856783</v>
      </c>
      <c r="X111" s="86">
        <f t="shared" si="22"/>
        <v>909984.09884747851</v>
      </c>
      <c r="Y111" s="86">
        <f t="shared" si="22"/>
        <v>37024.978021856783</v>
      </c>
      <c r="Z111" s="86">
        <f>58125-Z112-Z113</f>
        <v>37024.980000000003</v>
      </c>
      <c r="AA111" s="86"/>
      <c r="AB111" s="86">
        <f t="shared" si="30"/>
        <v>-1.9781432201853022E-3</v>
      </c>
      <c r="AC111" s="87">
        <v>304310.54168138606</v>
      </c>
      <c r="AD111" s="87">
        <f t="shared" si="15"/>
        <v>-3.7813968366744131E-2</v>
      </c>
      <c r="AE111" s="87"/>
      <c r="AF111" s="88"/>
      <c r="AG111" s="88"/>
      <c r="AH111" s="88"/>
      <c r="AI111" s="88"/>
      <c r="AJ111" s="88"/>
      <c r="AK111" s="130">
        <f t="shared" si="23"/>
        <v>-1.9781432201853022E-3</v>
      </c>
      <c r="AL111" s="130"/>
      <c r="AM111" s="130"/>
      <c r="AN111" s="130"/>
      <c r="AO111" s="130">
        <f t="shared" si="19"/>
        <v>-1.9781432201853022E-3</v>
      </c>
      <c r="AP111" s="89">
        <f t="shared" si="17"/>
        <v>-4.2540714412587145E-2</v>
      </c>
      <c r="AQ111" s="182"/>
      <c r="AR111" s="182"/>
      <c r="AS111" s="183"/>
      <c r="AT111" s="183"/>
      <c r="AU111" s="183"/>
      <c r="AV111" s="183"/>
      <c r="AW111" s="186">
        <f t="shared" si="24"/>
        <v>-4.2540714412587145E-2</v>
      </c>
      <c r="AX111" s="223">
        <f t="shared" si="20"/>
        <v>-5.6720952550116194E-2</v>
      </c>
      <c r="AY111" s="221"/>
      <c r="AZ111" s="221"/>
      <c r="BA111" s="221"/>
    </row>
    <row r="112" spans="1:53" s="76" customFormat="1" ht="25.5">
      <c r="A112" s="54">
        <f t="shared" si="25"/>
        <v>103</v>
      </c>
      <c r="B112" s="55" t="s">
        <v>217</v>
      </c>
      <c r="C112" s="56" t="s">
        <v>218</v>
      </c>
      <c r="D112" s="55" t="s">
        <v>105</v>
      </c>
      <c r="E112" s="55" t="s">
        <v>58</v>
      </c>
      <c r="F112" s="55"/>
      <c r="G112" s="55"/>
      <c r="H112" s="58">
        <v>43617</v>
      </c>
      <c r="I112" s="58">
        <v>43617</v>
      </c>
      <c r="J112" s="60">
        <v>1500000</v>
      </c>
      <c r="K112" s="61">
        <v>7.7499999999999999E-2</v>
      </c>
      <c r="L112" s="62">
        <v>0.9</v>
      </c>
      <c r="M112" s="63">
        <v>6</v>
      </c>
      <c r="N112" s="62">
        <v>12</v>
      </c>
      <c r="O112" s="63">
        <f t="shared" si="26"/>
        <v>52312.5</v>
      </c>
      <c r="P112" s="63">
        <f t="shared" si="27"/>
        <v>909984.09884747851</v>
      </c>
      <c r="Q112" s="63">
        <f t="shared" si="28"/>
        <v>31735.695447305814</v>
      </c>
      <c r="R112" s="63">
        <f t="shared" si="29"/>
        <v>20576.804552694186</v>
      </c>
      <c r="S112" s="64">
        <v>0.606656065898319</v>
      </c>
      <c r="T112" s="63"/>
      <c r="U112" s="62"/>
      <c r="V112" s="63">
        <f t="shared" si="21"/>
        <v>909984.09884747851</v>
      </c>
      <c r="W112" s="63">
        <f t="shared" si="21"/>
        <v>31735.695447305814</v>
      </c>
      <c r="X112" s="65">
        <f t="shared" si="22"/>
        <v>909984.09884747851</v>
      </c>
      <c r="Y112" s="65">
        <f t="shared" si="22"/>
        <v>31735.695447305814</v>
      </c>
      <c r="Z112" s="91">
        <v>14047.64</v>
      </c>
      <c r="AA112" s="91"/>
      <c r="AB112" s="65">
        <f t="shared" si="30"/>
        <v>17688.055447305815</v>
      </c>
      <c r="AC112" s="66">
        <v>0</v>
      </c>
      <c r="AD112" s="66">
        <f t="shared" si="15"/>
        <v>338122.92372388655</v>
      </c>
      <c r="AE112" s="66"/>
      <c r="AF112" s="67"/>
      <c r="AG112" s="67"/>
      <c r="AH112" s="68"/>
      <c r="AI112" s="68"/>
      <c r="AJ112" s="69"/>
      <c r="AK112" s="67">
        <f t="shared" si="23"/>
        <v>17688.055447305815</v>
      </c>
      <c r="AL112" s="67"/>
      <c r="AM112" s="67"/>
      <c r="AN112" s="67"/>
      <c r="AO112" s="67">
        <f t="shared" si="19"/>
        <v>17688.055447305815</v>
      </c>
      <c r="AP112" s="70">
        <f t="shared" si="17"/>
        <v>380388.28918937233</v>
      </c>
      <c r="AQ112" s="70"/>
      <c r="AR112" s="70"/>
      <c r="AS112" s="71"/>
      <c r="AT112" s="72"/>
      <c r="AU112" s="72"/>
      <c r="AV112" s="73"/>
      <c r="AW112" s="74">
        <f t="shared" si="24"/>
        <v>380388.28918937233</v>
      </c>
      <c r="AX112" s="74">
        <f t="shared" si="20"/>
        <v>507184.38558582985</v>
      </c>
      <c r="AY112" s="75"/>
      <c r="AZ112" s="75"/>
      <c r="BA112" s="75"/>
    </row>
    <row r="113" spans="1:53" s="222" customFormat="1" ht="25.5">
      <c r="A113" s="77">
        <f t="shared" si="25"/>
        <v>104</v>
      </c>
      <c r="B113" s="78" t="s">
        <v>217</v>
      </c>
      <c r="C113" s="79" t="s">
        <v>219</v>
      </c>
      <c r="D113" s="78" t="s">
        <v>57</v>
      </c>
      <c r="E113" s="80" t="s">
        <v>58</v>
      </c>
      <c r="F113" s="78"/>
      <c r="G113" s="78"/>
      <c r="H113" s="81">
        <v>43739</v>
      </c>
      <c r="I113" s="81">
        <v>43739</v>
      </c>
      <c r="J113" s="82">
        <v>1000000</v>
      </c>
      <c r="K113" s="117">
        <v>7.7499999999999999E-2</v>
      </c>
      <c r="L113" s="85">
        <v>0.9</v>
      </c>
      <c r="M113" s="83">
        <v>2</v>
      </c>
      <c r="N113" s="85">
        <v>12</v>
      </c>
      <c r="O113" s="83">
        <f t="shared" si="26"/>
        <v>11625</v>
      </c>
      <c r="P113" s="83">
        <f t="shared" si="27"/>
        <v>606656.06589831901</v>
      </c>
      <c r="Q113" s="83">
        <f t="shared" si="28"/>
        <v>7052.3767660679587</v>
      </c>
      <c r="R113" s="83">
        <f t="shared" si="29"/>
        <v>4572.6232339320413</v>
      </c>
      <c r="S113" s="84">
        <v>0.606656065898319</v>
      </c>
      <c r="T113" s="83"/>
      <c r="U113" s="85"/>
      <c r="V113" s="83">
        <f t="shared" si="21"/>
        <v>606656.06589831901</v>
      </c>
      <c r="W113" s="83">
        <f t="shared" si="21"/>
        <v>7052.3767660679587</v>
      </c>
      <c r="X113" s="86">
        <f t="shared" si="22"/>
        <v>606656.06589831901</v>
      </c>
      <c r="Y113" s="86">
        <f t="shared" si="22"/>
        <v>7052.3767660679587</v>
      </c>
      <c r="Z113" s="93">
        <v>7052.38</v>
      </c>
      <c r="AA113" s="93"/>
      <c r="AB113" s="86">
        <f t="shared" si="30"/>
        <v>-3.2339320414394024E-3</v>
      </c>
      <c r="AC113" s="87">
        <v>0</v>
      </c>
      <c r="AD113" s="87">
        <f t="shared" si="15"/>
        <v>-6.1819489442091327E-2</v>
      </c>
      <c r="AE113" s="87"/>
      <c r="AF113" s="88"/>
      <c r="AG113" s="88"/>
      <c r="AH113" s="88"/>
      <c r="AI113" s="88"/>
      <c r="AJ113" s="88"/>
      <c r="AK113" s="130">
        <f t="shared" si="23"/>
        <v>-3.2339320414394024E-3</v>
      </c>
      <c r="AL113" s="130"/>
      <c r="AM113" s="130"/>
      <c r="AN113" s="130"/>
      <c r="AO113" s="130">
        <f t="shared" si="19"/>
        <v>-3.2339320414394024E-3</v>
      </c>
      <c r="AP113" s="89">
        <f t="shared" si="17"/>
        <v>-6.9546925622352734E-2</v>
      </c>
      <c r="AQ113" s="182"/>
      <c r="AR113" s="182"/>
      <c r="AS113" s="183"/>
      <c r="AT113" s="183"/>
      <c r="AU113" s="183"/>
      <c r="AV113" s="183"/>
      <c r="AW113" s="186">
        <f t="shared" si="24"/>
        <v>-6.9546925622352734E-2</v>
      </c>
      <c r="AX113" s="223">
        <f t="shared" si="20"/>
        <v>-9.2729234163136984E-2</v>
      </c>
      <c r="AY113" s="221"/>
      <c r="AZ113" s="221"/>
      <c r="BA113" s="221"/>
    </row>
    <row r="114" spans="1:53" s="222" customFormat="1" ht="25.5">
      <c r="A114" s="77">
        <f t="shared" si="25"/>
        <v>105</v>
      </c>
      <c r="B114" s="78" t="s">
        <v>220</v>
      </c>
      <c r="C114" s="79" t="s">
        <v>221</v>
      </c>
      <c r="D114" s="78" t="s">
        <v>57</v>
      </c>
      <c r="E114" s="80" t="s">
        <v>58</v>
      </c>
      <c r="F114" s="78"/>
      <c r="G114" s="78"/>
      <c r="H114" s="81">
        <v>43525</v>
      </c>
      <c r="I114" s="81">
        <v>43525</v>
      </c>
      <c r="J114" s="82">
        <v>1500000</v>
      </c>
      <c r="K114" s="117">
        <v>7.7499999999999999E-2</v>
      </c>
      <c r="L114" s="85">
        <v>0.9</v>
      </c>
      <c r="M114" s="83">
        <v>9</v>
      </c>
      <c r="N114" s="85">
        <v>12</v>
      </c>
      <c r="O114" s="83">
        <f t="shared" si="26"/>
        <v>78468.75</v>
      </c>
      <c r="P114" s="83">
        <f t="shared" si="27"/>
        <v>909984.09884747851</v>
      </c>
      <c r="Q114" s="83">
        <f t="shared" si="28"/>
        <v>47603.543170958721</v>
      </c>
      <c r="R114" s="83">
        <f t="shared" si="29"/>
        <v>30865.206829041279</v>
      </c>
      <c r="S114" s="84">
        <v>0.606656065898319</v>
      </c>
      <c r="T114" s="118">
        <v>1200000</v>
      </c>
      <c r="U114" s="94">
        <f>69750-U115</f>
        <v>47603.54</v>
      </c>
      <c r="V114" s="83">
        <f t="shared" si="21"/>
        <v>-290015.90115252149</v>
      </c>
      <c r="W114" s="83">
        <f t="shared" si="21"/>
        <v>3.1709587201476097E-3</v>
      </c>
      <c r="X114" s="86">
        <f t="shared" si="22"/>
        <v>-290015.90115252149</v>
      </c>
      <c r="Y114" s="86">
        <f t="shared" si="22"/>
        <v>3.1709587201476097E-3</v>
      </c>
      <c r="Z114" s="86"/>
      <c r="AA114" s="86"/>
      <c r="AB114" s="86">
        <f t="shared" si="30"/>
        <v>3.1709587201476097E-3</v>
      </c>
      <c r="AC114" s="87">
        <v>73977.738386469893</v>
      </c>
      <c r="AD114" s="87">
        <f t="shared" ref="AD114:AD177" si="31">AB114/K114/L114/9*N114</f>
        <v>6.0615698354076167E-2</v>
      </c>
      <c r="AE114" s="87"/>
      <c r="AF114" s="88"/>
      <c r="AG114" s="88"/>
      <c r="AH114" s="88"/>
      <c r="AI114" s="88"/>
      <c r="AJ114" s="88"/>
      <c r="AK114" s="130">
        <f t="shared" si="23"/>
        <v>3.1709587201476097E-3</v>
      </c>
      <c r="AL114" s="130"/>
      <c r="AM114" s="130"/>
      <c r="AN114" s="130"/>
      <c r="AO114" s="130">
        <f t="shared" si="19"/>
        <v>3.1709587201476097E-3</v>
      </c>
      <c r="AP114" s="119">
        <f t="shared" si="17"/>
        <v>6.8192660648335679E-2</v>
      </c>
      <c r="AQ114" s="182"/>
      <c r="AR114" s="182"/>
      <c r="AS114" s="183"/>
      <c r="AT114" s="183"/>
      <c r="AU114" s="183"/>
      <c r="AV114" s="183"/>
      <c r="AW114" s="186">
        <f t="shared" si="24"/>
        <v>6.8192660648335679E-2</v>
      </c>
      <c r="AX114" s="186">
        <f t="shared" si="20"/>
        <v>9.0923547531114243E-2</v>
      </c>
      <c r="AY114" s="221"/>
      <c r="AZ114" s="221"/>
      <c r="BA114" s="221"/>
    </row>
    <row r="115" spans="1:53" s="76" customFormat="1" ht="25.5">
      <c r="A115" s="54">
        <f t="shared" si="25"/>
        <v>106</v>
      </c>
      <c r="B115" s="55" t="s">
        <v>220</v>
      </c>
      <c r="C115" s="56" t="s">
        <v>221</v>
      </c>
      <c r="D115" s="55" t="s">
        <v>57</v>
      </c>
      <c r="E115" s="55" t="s">
        <v>58</v>
      </c>
      <c r="F115" s="55"/>
      <c r="G115" s="55"/>
      <c r="H115" s="58">
        <v>43647</v>
      </c>
      <c r="I115" s="58">
        <v>43647</v>
      </c>
      <c r="J115" s="60">
        <v>1500000</v>
      </c>
      <c r="K115" s="61">
        <v>7.7499999999999999E-2</v>
      </c>
      <c r="L115" s="62">
        <v>0.9</v>
      </c>
      <c r="M115" s="63">
        <v>5</v>
      </c>
      <c r="N115" s="62">
        <v>12</v>
      </c>
      <c r="O115" s="63">
        <f t="shared" si="26"/>
        <v>43593.75</v>
      </c>
      <c r="P115" s="63">
        <f t="shared" si="27"/>
        <v>909984.09884747851</v>
      </c>
      <c r="Q115" s="63">
        <f t="shared" si="28"/>
        <v>26446.412872754841</v>
      </c>
      <c r="R115" s="63">
        <f t="shared" si="29"/>
        <v>17147.337127245159</v>
      </c>
      <c r="S115" s="64">
        <v>0.606656065898319</v>
      </c>
      <c r="T115" s="63"/>
      <c r="U115" s="62">
        <v>22146.46</v>
      </c>
      <c r="V115" s="63">
        <f t="shared" si="21"/>
        <v>909984.09884747851</v>
      </c>
      <c r="W115" s="63">
        <f t="shared" si="21"/>
        <v>4299.9528727548422</v>
      </c>
      <c r="X115" s="65">
        <f t="shared" si="22"/>
        <v>909984.09884747851</v>
      </c>
      <c r="Y115" s="65">
        <f t="shared" si="22"/>
        <v>4299.9528727548422</v>
      </c>
      <c r="Z115" s="91"/>
      <c r="AA115" s="91"/>
      <c r="AB115" s="65">
        <f t="shared" si="30"/>
        <v>4299.9528727548422</v>
      </c>
      <c r="AC115" s="66">
        <v>0</v>
      </c>
      <c r="AD115" s="66">
        <f t="shared" si="31"/>
        <v>82197.42648037929</v>
      </c>
      <c r="AE115" s="66"/>
      <c r="AF115" s="67"/>
      <c r="AG115" s="67"/>
      <c r="AH115" s="68"/>
      <c r="AI115" s="68"/>
      <c r="AJ115" s="69"/>
      <c r="AK115" s="67">
        <f t="shared" si="23"/>
        <v>4299.9528727548422</v>
      </c>
      <c r="AL115" s="67"/>
      <c r="AM115" s="67"/>
      <c r="AN115" s="67"/>
      <c r="AO115" s="67">
        <f t="shared" si="19"/>
        <v>4299.9528727548422</v>
      </c>
      <c r="AP115" s="70">
        <f t="shared" si="17"/>
        <v>92472.104790426703</v>
      </c>
      <c r="AQ115" s="70"/>
      <c r="AR115" s="70"/>
      <c r="AS115" s="71"/>
      <c r="AT115" s="72"/>
      <c r="AU115" s="72"/>
      <c r="AV115" s="73"/>
      <c r="AW115" s="74">
        <f t="shared" si="24"/>
        <v>92472.104790426703</v>
      </c>
      <c r="AX115" s="74">
        <f t="shared" si="20"/>
        <v>123296.13972056893</v>
      </c>
      <c r="AY115" s="75"/>
      <c r="AZ115" s="75"/>
      <c r="BA115" s="75"/>
    </row>
    <row r="116" spans="1:53" s="76" customFormat="1" ht="25.5">
      <c r="A116" s="54">
        <f t="shared" si="25"/>
        <v>107</v>
      </c>
      <c r="B116" s="55" t="s">
        <v>222</v>
      </c>
      <c r="C116" s="56" t="s">
        <v>223</v>
      </c>
      <c r="D116" s="55" t="s">
        <v>97</v>
      </c>
      <c r="E116" s="55" t="s">
        <v>58</v>
      </c>
      <c r="F116" s="55"/>
      <c r="G116" s="55"/>
      <c r="H116" s="58">
        <v>43497</v>
      </c>
      <c r="I116" s="59" t="s">
        <v>88</v>
      </c>
      <c r="J116" s="60">
        <v>2000000</v>
      </c>
      <c r="K116" s="61">
        <v>7.7499999999999999E-2</v>
      </c>
      <c r="L116" s="62">
        <v>0.9</v>
      </c>
      <c r="M116" s="63">
        <v>10</v>
      </c>
      <c r="N116" s="62">
        <v>12</v>
      </c>
      <c r="O116" s="63">
        <f t="shared" si="26"/>
        <v>116250</v>
      </c>
      <c r="P116" s="63">
        <f t="shared" si="27"/>
        <v>1213312.131796638</v>
      </c>
      <c r="Q116" s="63">
        <f t="shared" si="28"/>
        <v>70523.767660679587</v>
      </c>
      <c r="R116" s="63">
        <f t="shared" si="29"/>
        <v>45726.232339320413</v>
      </c>
      <c r="S116" s="64">
        <v>0.606656065898319</v>
      </c>
      <c r="T116" s="63"/>
      <c r="U116" s="62"/>
      <c r="V116" s="63">
        <f t="shared" si="21"/>
        <v>1213312.131796638</v>
      </c>
      <c r="W116" s="63">
        <f t="shared" si="21"/>
        <v>70523.767660679587</v>
      </c>
      <c r="X116" s="65">
        <f t="shared" si="22"/>
        <v>1213312.131796638</v>
      </c>
      <c r="Y116" s="65">
        <f t="shared" si="22"/>
        <v>70523.767660679587</v>
      </c>
      <c r="Z116" s="65"/>
      <c r="AA116" s="65"/>
      <c r="AB116" s="65">
        <f t="shared" si="30"/>
        <v>70523.767660679587</v>
      </c>
      <c r="AC116" s="66">
        <v>1213312.131796638</v>
      </c>
      <c r="AD116" s="66">
        <f t="shared" si="31"/>
        <v>1348124.5908851533</v>
      </c>
      <c r="AE116" s="66"/>
      <c r="AF116" s="67"/>
      <c r="AG116" s="67"/>
      <c r="AH116" s="68"/>
      <c r="AI116" s="68"/>
      <c r="AJ116" s="69"/>
      <c r="AK116" s="67">
        <f t="shared" si="23"/>
        <v>70523.767660679587</v>
      </c>
      <c r="AL116" s="67"/>
      <c r="AM116" s="67"/>
      <c r="AN116" s="67"/>
      <c r="AO116" s="67">
        <f t="shared" si="19"/>
        <v>70523.767660679587</v>
      </c>
      <c r="AP116" s="70">
        <f t="shared" si="17"/>
        <v>1516640.1647457974</v>
      </c>
      <c r="AQ116" s="70"/>
      <c r="AR116" s="70"/>
      <c r="AS116" s="71"/>
      <c r="AT116" s="72"/>
      <c r="AU116" s="72"/>
      <c r="AV116" s="73"/>
      <c r="AW116" s="74">
        <f t="shared" si="24"/>
        <v>1516640.1647457974</v>
      </c>
      <c r="AX116" s="74">
        <f t="shared" si="20"/>
        <v>2022186.88632773</v>
      </c>
      <c r="AY116" s="75"/>
      <c r="AZ116" s="75"/>
      <c r="BA116" s="75"/>
    </row>
    <row r="117" spans="1:53" s="76" customFormat="1" ht="25.5">
      <c r="A117" s="54">
        <f t="shared" si="25"/>
        <v>108</v>
      </c>
      <c r="B117" s="55" t="s">
        <v>224</v>
      </c>
      <c r="C117" s="56" t="s">
        <v>225</v>
      </c>
      <c r="D117" s="55" t="s">
        <v>97</v>
      </c>
      <c r="E117" s="55" t="s">
        <v>58</v>
      </c>
      <c r="F117" s="55"/>
      <c r="G117" s="55"/>
      <c r="H117" s="58">
        <v>43497</v>
      </c>
      <c r="I117" s="59" t="s">
        <v>88</v>
      </c>
      <c r="J117" s="60">
        <v>5000000</v>
      </c>
      <c r="K117" s="61">
        <v>7.7499999999999999E-2</v>
      </c>
      <c r="L117" s="62">
        <v>0.9</v>
      </c>
      <c r="M117" s="63">
        <v>10</v>
      </c>
      <c r="N117" s="62">
        <v>12</v>
      </c>
      <c r="O117" s="63">
        <f t="shared" si="26"/>
        <v>290625</v>
      </c>
      <c r="P117" s="63">
        <f t="shared" si="27"/>
        <v>3033280.3294915948</v>
      </c>
      <c r="Q117" s="63">
        <f t="shared" si="28"/>
        <v>176309.41915169894</v>
      </c>
      <c r="R117" s="63">
        <f t="shared" si="29"/>
        <v>114315.58084830106</v>
      </c>
      <c r="S117" s="64">
        <v>0.606656065898319</v>
      </c>
      <c r="T117" s="63"/>
      <c r="U117" s="62"/>
      <c r="V117" s="63">
        <f t="shared" si="21"/>
        <v>3033280.3294915948</v>
      </c>
      <c r="W117" s="63">
        <f t="shared" si="21"/>
        <v>176309.41915169894</v>
      </c>
      <c r="X117" s="65">
        <f t="shared" si="22"/>
        <v>3033280.3294915948</v>
      </c>
      <c r="Y117" s="65">
        <f t="shared" si="22"/>
        <v>176309.41915169894</v>
      </c>
      <c r="Z117" s="65"/>
      <c r="AA117" s="65"/>
      <c r="AB117" s="65">
        <f t="shared" si="30"/>
        <v>176309.41915169894</v>
      </c>
      <c r="AC117" s="66">
        <v>3033280.3294915948</v>
      </c>
      <c r="AD117" s="66">
        <f t="shared" si="31"/>
        <v>3370311.4772128826</v>
      </c>
      <c r="AE117" s="66"/>
      <c r="AF117" s="67"/>
      <c r="AG117" s="67"/>
      <c r="AH117" s="68"/>
      <c r="AI117" s="68"/>
      <c r="AJ117" s="69"/>
      <c r="AK117" s="67">
        <f t="shared" si="23"/>
        <v>176309.41915169894</v>
      </c>
      <c r="AL117" s="67"/>
      <c r="AM117" s="67"/>
      <c r="AN117" s="67"/>
      <c r="AO117" s="67">
        <f t="shared" si="19"/>
        <v>176309.41915169894</v>
      </c>
      <c r="AP117" s="70">
        <f t="shared" si="17"/>
        <v>3791600.411864493</v>
      </c>
      <c r="AQ117" s="70"/>
      <c r="AR117" s="70"/>
      <c r="AS117" s="71"/>
      <c r="AT117" s="72"/>
      <c r="AU117" s="72"/>
      <c r="AV117" s="73"/>
      <c r="AW117" s="74">
        <f t="shared" si="24"/>
        <v>3791600.411864493</v>
      </c>
      <c r="AX117" s="74">
        <f t="shared" si="20"/>
        <v>5055467.2158193244</v>
      </c>
      <c r="AY117" s="75"/>
      <c r="AZ117" s="75"/>
      <c r="BA117" s="75"/>
    </row>
    <row r="118" spans="1:53" s="222" customFormat="1" ht="25.5">
      <c r="A118" s="77">
        <f t="shared" si="25"/>
        <v>109</v>
      </c>
      <c r="B118" s="78" t="s">
        <v>226</v>
      </c>
      <c r="C118" s="79" t="s">
        <v>227</v>
      </c>
      <c r="D118" s="78" t="s">
        <v>57</v>
      </c>
      <c r="E118" s="80" t="s">
        <v>85</v>
      </c>
      <c r="F118" s="78"/>
      <c r="G118" s="78"/>
      <c r="H118" s="81">
        <v>43497</v>
      </c>
      <c r="I118" s="81">
        <v>43497</v>
      </c>
      <c r="J118" s="82">
        <v>10000000</v>
      </c>
      <c r="K118" s="117">
        <v>7.7499999999999999E-2</v>
      </c>
      <c r="L118" s="85">
        <v>0.9</v>
      </c>
      <c r="M118" s="83">
        <v>10</v>
      </c>
      <c r="N118" s="85">
        <v>12</v>
      </c>
      <c r="O118" s="83">
        <f t="shared" si="26"/>
        <v>581250</v>
      </c>
      <c r="P118" s="83">
        <f t="shared" si="27"/>
        <v>6066560.6589831896</v>
      </c>
      <c r="Q118" s="83">
        <f t="shared" si="28"/>
        <v>352618.83830339788</v>
      </c>
      <c r="R118" s="83">
        <f t="shared" si="29"/>
        <v>228631.16169660212</v>
      </c>
      <c r="S118" s="84">
        <v>0.606656065898319</v>
      </c>
      <c r="T118" s="83"/>
      <c r="U118" s="85"/>
      <c r="V118" s="83">
        <f t="shared" si="21"/>
        <v>6066560.6589831896</v>
      </c>
      <c r="W118" s="83">
        <f t="shared" si="21"/>
        <v>352618.83830339788</v>
      </c>
      <c r="X118" s="86">
        <f t="shared" si="22"/>
        <v>6066560.6589831896</v>
      </c>
      <c r="Y118" s="86">
        <f t="shared" si="22"/>
        <v>352618.83830339788</v>
      </c>
      <c r="Z118" s="86">
        <f>493655.63-Z119-Z120</f>
        <v>352608.08999999997</v>
      </c>
      <c r="AA118" s="86"/>
      <c r="AB118" s="86">
        <f t="shared" si="30"/>
        <v>10.748303397907875</v>
      </c>
      <c r="AC118" s="87">
        <v>184.92257646657526</v>
      </c>
      <c r="AD118" s="87">
        <f t="shared" si="31"/>
        <v>205.46338633993548</v>
      </c>
      <c r="AE118" s="87"/>
      <c r="AF118" s="88"/>
      <c r="AG118" s="88"/>
      <c r="AH118" s="88"/>
      <c r="AI118" s="88"/>
      <c r="AJ118" s="88"/>
      <c r="AK118" s="130">
        <f t="shared" si="23"/>
        <v>10.748303397907875</v>
      </c>
      <c r="AL118" s="130"/>
      <c r="AM118" s="130"/>
      <c r="AN118" s="130"/>
      <c r="AO118" s="130">
        <f t="shared" si="19"/>
        <v>10.748303397907875</v>
      </c>
      <c r="AP118" s="119">
        <f t="shared" si="17"/>
        <v>231.1463096324274</v>
      </c>
      <c r="AQ118" s="182"/>
      <c r="AR118" s="182"/>
      <c r="AS118" s="183"/>
      <c r="AT118" s="183"/>
      <c r="AU118" s="183"/>
      <c r="AV118" s="183"/>
      <c r="AW118" s="186">
        <f t="shared" si="24"/>
        <v>231.1463096324274</v>
      </c>
      <c r="AX118" s="186">
        <f t="shared" si="20"/>
        <v>308.19507950990322</v>
      </c>
      <c r="AY118" s="221"/>
      <c r="AZ118" s="221"/>
      <c r="BA118" s="221"/>
    </row>
    <row r="119" spans="1:53" s="222" customFormat="1" ht="25.5">
      <c r="A119" s="77">
        <f t="shared" si="25"/>
        <v>110</v>
      </c>
      <c r="B119" s="78" t="s">
        <v>226</v>
      </c>
      <c r="C119" s="79" t="s">
        <v>227</v>
      </c>
      <c r="D119" s="78" t="s">
        <v>57</v>
      </c>
      <c r="E119" s="80" t="s">
        <v>85</v>
      </c>
      <c r="F119" s="78"/>
      <c r="G119" s="78"/>
      <c r="H119" s="81">
        <v>43739</v>
      </c>
      <c r="I119" s="81">
        <v>43739</v>
      </c>
      <c r="J119" s="82">
        <v>10000000</v>
      </c>
      <c r="K119" s="117">
        <v>7.7499999999999999E-2</v>
      </c>
      <c r="L119" s="85">
        <v>0.9</v>
      </c>
      <c r="M119" s="83">
        <v>2</v>
      </c>
      <c r="N119" s="85">
        <v>12</v>
      </c>
      <c r="O119" s="83">
        <f t="shared" si="26"/>
        <v>116250</v>
      </c>
      <c r="P119" s="83">
        <f t="shared" si="27"/>
        <v>6066560.6589831896</v>
      </c>
      <c r="Q119" s="83">
        <f t="shared" si="28"/>
        <v>70523.767660679572</v>
      </c>
      <c r="R119" s="83">
        <f t="shared" si="29"/>
        <v>45726.232339320428</v>
      </c>
      <c r="S119" s="84">
        <v>0.606656065898319</v>
      </c>
      <c r="T119" s="83"/>
      <c r="U119" s="85"/>
      <c r="V119" s="83">
        <f t="shared" si="21"/>
        <v>6066560.6589831896</v>
      </c>
      <c r="W119" s="83">
        <f t="shared" si="21"/>
        <v>70523.767660679572</v>
      </c>
      <c r="X119" s="86">
        <f t="shared" si="22"/>
        <v>6066560.6589831896</v>
      </c>
      <c r="Y119" s="86">
        <f t="shared" si="22"/>
        <v>70523.767660679572</v>
      </c>
      <c r="Z119" s="93">
        <v>70523.77</v>
      </c>
      <c r="AA119" s="93"/>
      <c r="AB119" s="86">
        <f t="shared" si="30"/>
        <v>-2.3393204319290817E-3</v>
      </c>
      <c r="AC119" s="87">
        <v>0</v>
      </c>
      <c r="AD119" s="87">
        <f t="shared" si="31"/>
        <v>-4.4718192247150901E-2</v>
      </c>
      <c r="AE119" s="87"/>
      <c r="AF119" s="88"/>
      <c r="AG119" s="88"/>
      <c r="AH119" s="88"/>
      <c r="AI119" s="88"/>
      <c r="AJ119" s="88"/>
      <c r="AK119" s="130">
        <f t="shared" si="23"/>
        <v>-2.3393204319290817E-3</v>
      </c>
      <c r="AL119" s="130"/>
      <c r="AM119" s="130"/>
      <c r="AN119" s="130"/>
      <c r="AO119" s="130">
        <f t="shared" si="19"/>
        <v>-2.3393204319290817E-3</v>
      </c>
      <c r="AP119" s="89">
        <f t="shared" si="17"/>
        <v>-5.0307966278044763E-2</v>
      </c>
      <c r="AQ119" s="182"/>
      <c r="AR119" s="182"/>
      <c r="AS119" s="183"/>
      <c r="AT119" s="183"/>
      <c r="AU119" s="183"/>
      <c r="AV119" s="183"/>
      <c r="AW119" s="186">
        <f t="shared" si="24"/>
        <v>-5.0307966278044763E-2</v>
      </c>
      <c r="AX119" s="223">
        <f t="shared" si="20"/>
        <v>-6.7077288370726351E-2</v>
      </c>
      <c r="AY119" s="221"/>
      <c r="AZ119" s="221"/>
      <c r="BA119" s="221"/>
    </row>
    <row r="120" spans="1:53" s="222" customFormat="1" ht="25.5">
      <c r="A120" s="77">
        <f t="shared" si="25"/>
        <v>111</v>
      </c>
      <c r="B120" s="78" t="s">
        <v>226</v>
      </c>
      <c r="C120" s="79" t="s">
        <v>227</v>
      </c>
      <c r="D120" s="78" t="s">
        <v>105</v>
      </c>
      <c r="E120" s="80" t="s">
        <v>85</v>
      </c>
      <c r="F120" s="78"/>
      <c r="G120" s="78"/>
      <c r="H120" s="81">
        <v>43739</v>
      </c>
      <c r="I120" s="81">
        <v>43739</v>
      </c>
      <c r="J120" s="82">
        <v>10000000</v>
      </c>
      <c r="K120" s="117">
        <v>7.7499999999999999E-2</v>
      </c>
      <c r="L120" s="85">
        <v>0.9</v>
      </c>
      <c r="M120" s="83">
        <v>2</v>
      </c>
      <c r="N120" s="85">
        <v>12</v>
      </c>
      <c r="O120" s="83">
        <f t="shared" si="26"/>
        <v>116250</v>
      </c>
      <c r="P120" s="83">
        <f t="shared" si="27"/>
        <v>6066560.6589831896</v>
      </c>
      <c r="Q120" s="83">
        <f t="shared" si="28"/>
        <v>70523.767660679572</v>
      </c>
      <c r="R120" s="83">
        <f t="shared" si="29"/>
        <v>45726.232339320428</v>
      </c>
      <c r="S120" s="84">
        <v>0.606656065898319</v>
      </c>
      <c r="T120" s="83"/>
      <c r="U120" s="85"/>
      <c r="V120" s="83">
        <f t="shared" si="21"/>
        <v>6066560.6589831896</v>
      </c>
      <c r="W120" s="83">
        <f t="shared" si="21"/>
        <v>70523.767660679572</v>
      </c>
      <c r="X120" s="86">
        <f t="shared" si="22"/>
        <v>6066560.6589831896</v>
      </c>
      <c r="Y120" s="86">
        <f t="shared" si="22"/>
        <v>70523.767660679572</v>
      </c>
      <c r="Z120" s="176">
        <v>70523.77</v>
      </c>
      <c r="AA120" s="176"/>
      <c r="AB120" s="86">
        <f t="shared" si="30"/>
        <v>-2.3393204319290817E-3</v>
      </c>
      <c r="AC120" s="87">
        <v>0</v>
      </c>
      <c r="AD120" s="87">
        <f t="shared" si="31"/>
        <v>-4.4718192247150901E-2</v>
      </c>
      <c r="AE120" s="87"/>
      <c r="AF120" s="88"/>
      <c r="AG120" s="88"/>
      <c r="AH120" s="88"/>
      <c r="AI120" s="88"/>
      <c r="AJ120" s="88"/>
      <c r="AK120" s="130">
        <f t="shared" si="23"/>
        <v>-2.3393204319290817E-3</v>
      </c>
      <c r="AL120" s="130"/>
      <c r="AM120" s="130"/>
      <c r="AN120" s="130"/>
      <c r="AO120" s="130">
        <f t="shared" si="19"/>
        <v>-2.3393204319290817E-3</v>
      </c>
      <c r="AP120" s="89">
        <f t="shared" si="17"/>
        <v>-5.0307966278044763E-2</v>
      </c>
      <c r="AQ120" s="182"/>
      <c r="AR120" s="182"/>
      <c r="AS120" s="183"/>
      <c r="AT120" s="183"/>
      <c r="AU120" s="183"/>
      <c r="AV120" s="183"/>
      <c r="AW120" s="186">
        <f t="shared" si="24"/>
        <v>-5.0307966278044763E-2</v>
      </c>
      <c r="AX120" s="223">
        <f t="shared" si="20"/>
        <v>-6.7077288370726351E-2</v>
      </c>
      <c r="AY120" s="221"/>
      <c r="AZ120" s="221"/>
      <c r="BA120" s="221"/>
    </row>
    <row r="121" spans="1:53" s="222" customFormat="1" ht="25.5">
      <c r="A121" s="77">
        <f t="shared" si="25"/>
        <v>112</v>
      </c>
      <c r="B121" s="78" t="s">
        <v>228</v>
      </c>
      <c r="C121" s="79" t="s">
        <v>229</v>
      </c>
      <c r="D121" s="78" t="s">
        <v>97</v>
      </c>
      <c r="E121" s="80" t="s">
        <v>58</v>
      </c>
      <c r="F121" s="78"/>
      <c r="G121" s="78"/>
      <c r="H121" s="81">
        <v>43525</v>
      </c>
      <c r="I121" s="81">
        <v>43525</v>
      </c>
      <c r="J121" s="82">
        <v>2000000</v>
      </c>
      <c r="K121" s="117">
        <v>7.7499999999999999E-2</v>
      </c>
      <c r="L121" s="85">
        <v>0.9</v>
      </c>
      <c r="M121" s="83">
        <v>9</v>
      </c>
      <c r="N121" s="85">
        <v>12</v>
      </c>
      <c r="O121" s="83">
        <f t="shared" si="26"/>
        <v>104625</v>
      </c>
      <c r="P121" s="83">
        <f t="shared" si="27"/>
        <v>1213312.131796638</v>
      </c>
      <c r="Q121" s="83">
        <f t="shared" si="28"/>
        <v>63471.390894611628</v>
      </c>
      <c r="R121" s="83">
        <f t="shared" si="29"/>
        <v>41153.609105388372</v>
      </c>
      <c r="S121" s="84">
        <v>0.606656065898319</v>
      </c>
      <c r="T121" s="83"/>
      <c r="U121" s="85"/>
      <c r="V121" s="83">
        <f t="shared" si="21"/>
        <v>1213312.131796638</v>
      </c>
      <c r="W121" s="83">
        <f t="shared" si="21"/>
        <v>63471.390894611628</v>
      </c>
      <c r="X121" s="86">
        <f t="shared" si="22"/>
        <v>1213312.131796638</v>
      </c>
      <c r="Y121" s="86">
        <f t="shared" si="22"/>
        <v>63471.390894611628</v>
      </c>
      <c r="Z121" s="176"/>
      <c r="AA121" s="176">
        <f>158227.4-AA122</f>
        <v>63471.39</v>
      </c>
      <c r="AB121" s="86">
        <f>Y121-Z121-AA121</f>
        <v>8.9461162860970944E-4</v>
      </c>
      <c r="AC121" s="87">
        <v>-1270047.703457565</v>
      </c>
      <c r="AD121" s="87">
        <f t="shared" si="31"/>
        <v>1.7101297560042233E-2</v>
      </c>
      <c r="AE121" s="87"/>
      <c r="AF121" s="88"/>
      <c r="AG121" s="88"/>
      <c r="AH121" s="88"/>
      <c r="AI121" s="88"/>
      <c r="AJ121" s="88"/>
      <c r="AK121" s="130">
        <f t="shared" si="23"/>
        <v>8.9461162860970944E-4</v>
      </c>
      <c r="AL121" s="130"/>
      <c r="AM121" s="130"/>
      <c r="AN121" s="130"/>
      <c r="AO121" s="130">
        <f t="shared" si="19"/>
        <v>8.9461162860970944E-4</v>
      </c>
      <c r="AP121" s="119">
        <f t="shared" ref="AP121:AP184" si="32">AB121/K121/L121/8*N121</f>
        <v>1.9238959755047514E-2</v>
      </c>
      <c r="AQ121" s="182"/>
      <c r="AR121" s="182"/>
      <c r="AS121" s="183"/>
      <c r="AT121" s="183"/>
      <c r="AU121" s="183"/>
      <c r="AV121" s="183"/>
      <c r="AW121" s="186">
        <f t="shared" si="24"/>
        <v>1.9238959755047514E-2</v>
      </c>
      <c r="AX121" s="186">
        <f t="shared" si="20"/>
        <v>2.5651946340063347E-2</v>
      </c>
      <c r="AY121" s="221"/>
      <c r="AZ121" s="221"/>
      <c r="BA121" s="221"/>
    </row>
    <row r="122" spans="1:53" s="222" customFormat="1" ht="25.5">
      <c r="A122" s="77">
        <f t="shared" si="25"/>
        <v>113</v>
      </c>
      <c r="B122" s="78" t="s">
        <v>228</v>
      </c>
      <c r="C122" s="79" t="s">
        <v>229</v>
      </c>
      <c r="D122" s="78" t="s">
        <v>57</v>
      </c>
      <c r="E122" s="80" t="s">
        <v>58</v>
      </c>
      <c r="F122" s="78"/>
      <c r="G122" s="78"/>
      <c r="H122" s="81">
        <v>43525</v>
      </c>
      <c r="I122" s="81">
        <v>43525</v>
      </c>
      <c r="J122" s="82">
        <v>3000000</v>
      </c>
      <c r="K122" s="117">
        <v>7.7499999999999999E-2</v>
      </c>
      <c r="L122" s="85">
        <v>0.9</v>
      </c>
      <c r="M122" s="83">
        <v>9</v>
      </c>
      <c r="N122" s="85">
        <v>12</v>
      </c>
      <c r="O122" s="83">
        <f t="shared" si="26"/>
        <v>156937.5</v>
      </c>
      <c r="P122" s="83">
        <f t="shared" si="27"/>
        <v>1819968.197694957</v>
      </c>
      <c r="Q122" s="83">
        <f t="shared" si="28"/>
        <v>95207.086341917442</v>
      </c>
      <c r="R122" s="83">
        <f t="shared" si="29"/>
        <v>61730.413658082558</v>
      </c>
      <c r="S122" s="84">
        <v>0.606656065898319</v>
      </c>
      <c r="T122" s="83"/>
      <c r="U122" s="85"/>
      <c r="V122" s="83">
        <f t="shared" si="21"/>
        <v>1819968.197694957</v>
      </c>
      <c r="W122" s="83">
        <f t="shared" si="21"/>
        <v>95207.086341917442</v>
      </c>
      <c r="X122" s="86">
        <f t="shared" si="22"/>
        <v>1819968.197694957</v>
      </c>
      <c r="Y122" s="86">
        <f t="shared" si="22"/>
        <v>95207.086341917442</v>
      </c>
      <c r="Z122" s="176"/>
      <c r="AA122" s="176">
        <v>94756.01</v>
      </c>
      <c r="AB122" s="86">
        <f t="shared" si="30"/>
        <v>451.07634191744728</v>
      </c>
      <c r="AC122" s="87">
        <v>0</v>
      </c>
      <c r="AD122" s="87">
        <f t="shared" si="31"/>
        <v>8622.7257714207371</v>
      </c>
      <c r="AE122" s="87"/>
      <c r="AF122" s="88"/>
      <c r="AG122" s="88"/>
      <c r="AH122" s="88"/>
      <c r="AI122" s="88"/>
      <c r="AJ122" s="88"/>
      <c r="AK122" s="130">
        <f t="shared" si="23"/>
        <v>451.07634191744728</v>
      </c>
      <c r="AL122" s="130"/>
      <c r="AM122" s="130"/>
      <c r="AN122" s="130"/>
      <c r="AO122" s="130">
        <f t="shared" si="19"/>
        <v>451.07634191744728</v>
      </c>
      <c r="AP122" s="119">
        <f t="shared" si="32"/>
        <v>9700.5664928483293</v>
      </c>
      <c r="AQ122" s="182"/>
      <c r="AR122" s="182"/>
      <c r="AS122" s="183"/>
      <c r="AT122" s="183"/>
      <c r="AU122" s="183"/>
      <c r="AV122" s="183"/>
      <c r="AW122" s="186">
        <f t="shared" si="24"/>
        <v>9700.5664928483293</v>
      </c>
      <c r="AX122" s="186">
        <f t="shared" si="20"/>
        <v>12934.088657131106</v>
      </c>
      <c r="AY122" s="221"/>
      <c r="AZ122" s="221"/>
      <c r="BA122" s="221"/>
    </row>
    <row r="123" spans="1:53" ht="25.5">
      <c r="A123" s="151">
        <f t="shared" si="25"/>
        <v>114</v>
      </c>
      <c r="B123" s="152" t="s">
        <v>230</v>
      </c>
      <c r="C123" s="153" t="s">
        <v>231</v>
      </c>
      <c r="D123" s="169" t="s">
        <v>214</v>
      </c>
      <c r="E123" s="152" t="s">
        <v>85</v>
      </c>
      <c r="F123" s="152"/>
      <c r="G123" s="152"/>
      <c r="H123" s="154">
        <v>43497</v>
      </c>
      <c r="I123" s="59" t="s">
        <v>232</v>
      </c>
      <c r="J123" s="155">
        <v>40000000</v>
      </c>
      <c r="K123" s="156">
        <v>7.7499999999999999E-2</v>
      </c>
      <c r="L123" s="157">
        <v>0.9</v>
      </c>
      <c r="M123" s="158">
        <v>10</v>
      </c>
      <c r="N123" s="157">
        <v>12</v>
      </c>
      <c r="O123" s="158">
        <f t="shared" si="26"/>
        <v>2325000</v>
      </c>
      <c r="P123" s="158">
        <f t="shared" si="27"/>
        <v>24266242.635932758</v>
      </c>
      <c r="Q123" s="158">
        <f t="shared" si="28"/>
        <v>1410475.3532135915</v>
      </c>
      <c r="R123" s="158">
        <f t="shared" si="29"/>
        <v>914524.6467864085</v>
      </c>
      <c r="S123" s="159">
        <v>0.606656065898319</v>
      </c>
      <c r="T123" s="158"/>
      <c r="U123" s="157"/>
      <c r="V123" s="158">
        <f t="shared" si="21"/>
        <v>24266242.635932758</v>
      </c>
      <c r="W123" s="158">
        <f t="shared" si="21"/>
        <v>1410475.3532135915</v>
      </c>
      <c r="X123" s="160">
        <f t="shared" si="22"/>
        <v>24266242.635932758</v>
      </c>
      <c r="Y123" s="160">
        <f>SUM(W123)+786932.88</f>
        <v>2197408.2332135914</v>
      </c>
      <c r="Z123" s="177">
        <v>1410461.25</v>
      </c>
      <c r="AA123" s="177">
        <v>708206.63</v>
      </c>
      <c r="AB123" s="160">
        <f t="shared" si="30"/>
        <v>78740.353213591385</v>
      </c>
      <c r="AC123" s="162">
        <v>872.65743812918663</v>
      </c>
      <c r="AD123" s="162">
        <f t="shared" si="31"/>
        <v>1505191.9371773745</v>
      </c>
      <c r="AE123" s="162"/>
      <c r="AF123" s="163"/>
      <c r="AG123" s="163"/>
      <c r="AH123" s="68"/>
      <c r="AI123" s="68"/>
      <c r="AJ123" s="69"/>
      <c r="AK123" s="67">
        <f t="shared" si="23"/>
        <v>78740.353213591385</v>
      </c>
      <c r="AL123" s="67"/>
      <c r="AM123" s="67"/>
      <c r="AN123" s="67"/>
      <c r="AO123" s="67">
        <f t="shared" si="19"/>
        <v>78740.353213591385</v>
      </c>
      <c r="AP123" s="164">
        <f t="shared" si="32"/>
        <v>1693340.9293245461</v>
      </c>
      <c r="AQ123" s="164"/>
      <c r="AR123" s="164"/>
      <c r="AS123" s="165"/>
      <c r="AT123" s="72"/>
      <c r="AU123" s="72"/>
      <c r="AV123" s="73"/>
      <c r="AW123" s="74">
        <f t="shared" si="24"/>
        <v>1693340.9293245461</v>
      </c>
      <c r="AX123" s="74">
        <f t="shared" si="20"/>
        <v>2257787.9057660615</v>
      </c>
      <c r="AY123" s="150"/>
      <c r="AZ123" s="150"/>
      <c r="BA123" s="150"/>
    </row>
    <row r="124" spans="1:53" s="222" customFormat="1" ht="25.5">
      <c r="A124" s="77">
        <f t="shared" si="25"/>
        <v>115</v>
      </c>
      <c r="B124" s="78" t="s">
        <v>233</v>
      </c>
      <c r="C124" s="79" t="s">
        <v>234</v>
      </c>
      <c r="D124" s="78" t="s">
        <v>57</v>
      </c>
      <c r="E124" s="80" t="s">
        <v>85</v>
      </c>
      <c r="F124" s="78"/>
      <c r="G124" s="78"/>
      <c r="H124" s="81">
        <v>43525</v>
      </c>
      <c r="I124" s="81">
        <v>43525</v>
      </c>
      <c r="J124" s="82">
        <v>3000000</v>
      </c>
      <c r="K124" s="117">
        <v>7.7499999999999999E-2</v>
      </c>
      <c r="L124" s="85">
        <v>0.9</v>
      </c>
      <c r="M124" s="83">
        <v>9</v>
      </c>
      <c r="N124" s="85">
        <v>12</v>
      </c>
      <c r="O124" s="83">
        <f t="shared" si="26"/>
        <v>156937.5</v>
      </c>
      <c r="P124" s="83">
        <f t="shared" si="27"/>
        <v>1819968.197694957</v>
      </c>
      <c r="Q124" s="83">
        <f t="shared" si="28"/>
        <v>95207.086341917442</v>
      </c>
      <c r="R124" s="83">
        <f t="shared" si="29"/>
        <v>61730.413658082558</v>
      </c>
      <c r="S124" s="84">
        <v>0.606656065898319</v>
      </c>
      <c r="T124" s="83"/>
      <c r="U124" s="85"/>
      <c r="V124" s="83">
        <f t="shared" si="21"/>
        <v>1819968.197694957</v>
      </c>
      <c r="W124" s="83">
        <f>Q124-U124</f>
        <v>95207.086341917442</v>
      </c>
      <c r="X124" s="86">
        <f t="shared" si="22"/>
        <v>1819968.197694957</v>
      </c>
      <c r="Y124" s="86">
        <f>SUM(W124)-35376.1</f>
        <v>59830.986341917443</v>
      </c>
      <c r="Z124" s="176">
        <f>116249.99-Z125</f>
        <v>59830.98</v>
      </c>
      <c r="AA124" s="176"/>
      <c r="AB124" s="86">
        <f t="shared" si="30"/>
        <v>6.3419174402952194E-3</v>
      </c>
      <c r="AC124" s="87">
        <v>8.0939545296132565E-3</v>
      </c>
      <c r="AD124" s="87">
        <f t="shared" si="31"/>
        <v>0.12123139670815233</v>
      </c>
      <c r="AE124" s="87"/>
      <c r="AF124" s="88"/>
      <c r="AG124" s="88"/>
      <c r="AH124" s="88"/>
      <c r="AI124" s="88"/>
      <c r="AJ124" s="88"/>
      <c r="AK124" s="130">
        <f t="shared" si="23"/>
        <v>6.3419174402952194E-3</v>
      </c>
      <c r="AL124" s="130"/>
      <c r="AM124" s="130"/>
      <c r="AN124" s="130"/>
      <c r="AO124" s="130">
        <f t="shared" si="19"/>
        <v>6.3419174402952194E-3</v>
      </c>
      <c r="AP124" s="119">
        <f t="shared" si="32"/>
        <v>0.13638532129667136</v>
      </c>
      <c r="AQ124" s="182"/>
      <c r="AR124" s="182"/>
      <c r="AS124" s="183"/>
      <c r="AT124" s="183"/>
      <c r="AU124" s="183"/>
      <c r="AV124" s="183"/>
      <c r="AW124" s="186">
        <f t="shared" si="24"/>
        <v>0.13638532129667136</v>
      </c>
      <c r="AX124" s="186">
        <f t="shared" si="20"/>
        <v>0.18184709506222849</v>
      </c>
      <c r="AY124" s="221"/>
      <c r="AZ124" s="221"/>
      <c r="BA124" s="221"/>
    </row>
    <row r="125" spans="1:53" s="222" customFormat="1" ht="25.5">
      <c r="A125" s="77">
        <f t="shared" si="25"/>
        <v>116</v>
      </c>
      <c r="B125" s="78" t="s">
        <v>233</v>
      </c>
      <c r="C125" s="79" t="s">
        <v>234</v>
      </c>
      <c r="D125" s="78" t="s">
        <v>105</v>
      </c>
      <c r="E125" s="80" t="s">
        <v>85</v>
      </c>
      <c r="F125" s="78"/>
      <c r="G125" s="78"/>
      <c r="H125" s="81">
        <v>43556</v>
      </c>
      <c r="I125" s="81">
        <v>43556</v>
      </c>
      <c r="J125" s="82">
        <v>2000000</v>
      </c>
      <c r="K125" s="117">
        <v>7.7499999999999999E-2</v>
      </c>
      <c r="L125" s="85">
        <v>0.9</v>
      </c>
      <c r="M125" s="83">
        <v>8</v>
      </c>
      <c r="N125" s="85">
        <v>12</v>
      </c>
      <c r="O125" s="83">
        <f t="shared" si="26"/>
        <v>93000</v>
      </c>
      <c r="P125" s="83">
        <f t="shared" si="27"/>
        <v>1213312.131796638</v>
      </c>
      <c r="Q125" s="83">
        <f t="shared" si="28"/>
        <v>56419.014128543669</v>
      </c>
      <c r="R125" s="83">
        <f t="shared" si="29"/>
        <v>36580.985871456331</v>
      </c>
      <c r="S125" s="84">
        <v>0.606656065898319</v>
      </c>
      <c r="T125" s="83"/>
      <c r="U125" s="85"/>
      <c r="V125" s="83">
        <f t="shared" si="21"/>
        <v>1213312.131796638</v>
      </c>
      <c r="W125" s="83">
        <f t="shared" si="21"/>
        <v>56419.014128543669</v>
      </c>
      <c r="X125" s="86">
        <f t="shared" si="22"/>
        <v>1213312.131796638</v>
      </c>
      <c r="Y125" s="86">
        <f t="shared" si="22"/>
        <v>56419.014128543669</v>
      </c>
      <c r="Z125" s="176">
        <v>56419.01</v>
      </c>
      <c r="AA125" s="176"/>
      <c r="AB125" s="86">
        <f t="shared" si="30"/>
        <v>4.1285436673206277E-3</v>
      </c>
      <c r="AC125" s="87">
        <v>0</v>
      </c>
      <c r="AD125" s="87">
        <f t="shared" si="31"/>
        <v>7.892078694997616E-2</v>
      </c>
      <c r="AE125" s="87"/>
      <c r="AF125" s="88"/>
      <c r="AG125" s="88"/>
      <c r="AH125" s="88"/>
      <c r="AI125" s="88"/>
      <c r="AJ125" s="88"/>
      <c r="AK125" s="130">
        <f t="shared" si="23"/>
        <v>4.1285436673206277E-3</v>
      </c>
      <c r="AL125" s="130"/>
      <c r="AM125" s="130"/>
      <c r="AN125" s="130"/>
      <c r="AO125" s="130">
        <f t="shared" si="19"/>
        <v>4.1285436673206277E-3</v>
      </c>
      <c r="AP125" s="119">
        <f t="shared" si="32"/>
        <v>8.8785885318723168E-2</v>
      </c>
      <c r="AQ125" s="182"/>
      <c r="AR125" s="182"/>
      <c r="AS125" s="183"/>
      <c r="AT125" s="183"/>
      <c r="AU125" s="183"/>
      <c r="AV125" s="183"/>
      <c r="AW125" s="186">
        <f t="shared" si="24"/>
        <v>8.8785885318723168E-2</v>
      </c>
      <c r="AX125" s="186">
        <f t="shared" si="20"/>
        <v>0.11838118042496423</v>
      </c>
      <c r="AY125" s="221"/>
      <c r="AZ125" s="221"/>
      <c r="BA125" s="221"/>
    </row>
    <row r="126" spans="1:53" s="230" customFormat="1" ht="25.5">
      <c r="A126" s="120">
        <f t="shared" si="25"/>
        <v>117</v>
      </c>
      <c r="B126" s="80" t="s">
        <v>235</v>
      </c>
      <c r="C126" s="121" t="s">
        <v>236</v>
      </c>
      <c r="D126" s="80" t="s">
        <v>237</v>
      </c>
      <c r="E126" s="80" t="s">
        <v>58</v>
      </c>
      <c r="F126" s="55"/>
      <c r="G126" s="55"/>
      <c r="H126" s="58">
        <v>43586</v>
      </c>
      <c r="I126" s="122" t="s">
        <v>102</v>
      </c>
      <c r="J126" s="123">
        <v>4000000</v>
      </c>
      <c r="K126" s="61">
        <v>7.7499999999999999E-2</v>
      </c>
      <c r="L126" s="62">
        <v>0.9</v>
      </c>
      <c r="M126" s="63">
        <v>7</v>
      </c>
      <c r="N126" s="62">
        <v>12</v>
      </c>
      <c r="O126" s="126">
        <f t="shared" si="26"/>
        <v>162750</v>
      </c>
      <c r="P126" s="63">
        <f t="shared" si="27"/>
        <v>2426624.263593276</v>
      </c>
      <c r="Q126" s="126">
        <f t="shared" si="28"/>
        <v>98733.274724951421</v>
      </c>
      <c r="R126" s="126">
        <f t="shared" si="29"/>
        <v>64016.725275048579</v>
      </c>
      <c r="S126" s="127">
        <v>0.606656065898319</v>
      </c>
      <c r="T126" s="63"/>
      <c r="U126" s="62"/>
      <c r="V126" s="126">
        <f t="shared" si="21"/>
        <v>2426624.263593276</v>
      </c>
      <c r="W126" s="126">
        <f t="shared" si="21"/>
        <v>98733.274724951421</v>
      </c>
      <c r="X126" s="128">
        <f t="shared" si="22"/>
        <v>2426624.263593276</v>
      </c>
      <c r="Y126" s="65">
        <f t="shared" si="22"/>
        <v>98733.274724951421</v>
      </c>
      <c r="Z126" s="178"/>
      <c r="AA126" s="178"/>
      <c r="AB126" s="65">
        <f t="shared" si="30"/>
        <v>98733.274724951421</v>
      </c>
      <c r="AC126" s="66">
        <v>3154611.5426712586</v>
      </c>
      <c r="AD126" s="66">
        <f t="shared" si="31"/>
        <v>1887374.4272392145</v>
      </c>
      <c r="AE126" s="66"/>
      <c r="AF126" s="67"/>
      <c r="AG126" s="67"/>
      <c r="AH126" s="68">
        <v>98733.27</v>
      </c>
      <c r="AI126" s="68"/>
      <c r="AJ126" s="69"/>
      <c r="AK126" s="67">
        <f t="shared" si="23"/>
        <v>4.7249514173017815E-3</v>
      </c>
      <c r="AL126" s="67"/>
      <c r="AM126" s="67"/>
      <c r="AN126" s="67"/>
      <c r="AO126" s="130">
        <f t="shared" si="19"/>
        <v>4.7249514173017815E-3</v>
      </c>
      <c r="AP126" s="70">
        <f t="shared" si="32"/>
        <v>2123296.2306441166</v>
      </c>
      <c r="AQ126" s="70"/>
      <c r="AR126" s="70"/>
      <c r="AS126" s="71"/>
      <c r="AT126" s="107">
        <f>AH126/K126/L126/M126*N126</f>
        <v>2426624.1474654377</v>
      </c>
      <c r="AU126" s="107"/>
      <c r="AV126" s="113"/>
      <c r="AW126" s="74">
        <f t="shared" si="24"/>
        <v>-303327.91682132101</v>
      </c>
      <c r="AX126" s="186">
        <f t="shared" si="20"/>
        <v>0.13548247791546325</v>
      </c>
      <c r="AY126" s="75"/>
      <c r="AZ126" s="75"/>
      <c r="BA126" s="75"/>
    </row>
    <row r="127" spans="1:53" s="76" customFormat="1" ht="25.5">
      <c r="A127" s="54">
        <f t="shared" si="25"/>
        <v>118</v>
      </c>
      <c r="B127" s="55" t="s">
        <v>235</v>
      </c>
      <c r="C127" s="56" t="s">
        <v>236</v>
      </c>
      <c r="D127" s="55" t="s">
        <v>97</v>
      </c>
      <c r="E127" s="55" t="s">
        <v>58</v>
      </c>
      <c r="F127" s="55"/>
      <c r="G127" s="55"/>
      <c r="H127" s="58">
        <v>43617</v>
      </c>
      <c r="I127" s="58">
        <v>43617</v>
      </c>
      <c r="J127" s="60">
        <v>4000000</v>
      </c>
      <c r="K127" s="61">
        <v>7.7499999999999999E-2</v>
      </c>
      <c r="L127" s="62">
        <v>0.9</v>
      </c>
      <c r="M127" s="63">
        <v>6</v>
      </c>
      <c r="N127" s="62">
        <v>12</v>
      </c>
      <c r="O127" s="63">
        <f t="shared" si="26"/>
        <v>139500</v>
      </c>
      <c r="P127" s="63">
        <f t="shared" si="27"/>
        <v>2426624.263593276</v>
      </c>
      <c r="Q127" s="63">
        <f t="shared" si="28"/>
        <v>84628.521192815504</v>
      </c>
      <c r="R127" s="63">
        <f t="shared" si="29"/>
        <v>54871.478807184496</v>
      </c>
      <c r="S127" s="64">
        <v>0.606656065898319</v>
      </c>
      <c r="T127" s="63"/>
      <c r="U127" s="62"/>
      <c r="V127" s="63">
        <f t="shared" si="21"/>
        <v>2426624.263593276</v>
      </c>
      <c r="W127" s="63">
        <f t="shared" si="21"/>
        <v>84628.521192815504</v>
      </c>
      <c r="X127" s="65">
        <f t="shared" si="22"/>
        <v>2426624.263593276</v>
      </c>
      <c r="Y127" s="65">
        <f t="shared" si="22"/>
        <v>84628.521192815504</v>
      </c>
      <c r="Z127" s="178"/>
      <c r="AA127" s="178"/>
      <c r="AB127" s="65">
        <f t="shared" si="30"/>
        <v>84628.521192815504</v>
      </c>
      <c r="AC127" s="66">
        <v>0</v>
      </c>
      <c r="AD127" s="66">
        <f t="shared" si="31"/>
        <v>1617749.509062184</v>
      </c>
      <c r="AE127" s="66"/>
      <c r="AF127" s="67"/>
      <c r="AG127" s="67"/>
      <c r="AH127" s="68">
        <f>127758.75-98733.27</f>
        <v>29025.479999999996</v>
      </c>
      <c r="AI127" s="68"/>
      <c r="AJ127" s="69"/>
      <c r="AK127" s="67">
        <f t="shared" si="23"/>
        <v>55603.041192815508</v>
      </c>
      <c r="AL127" s="67"/>
      <c r="AM127" s="67"/>
      <c r="AN127" s="67"/>
      <c r="AO127" s="67">
        <f t="shared" si="19"/>
        <v>55603.041192815508</v>
      </c>
      <c r="AP127" s="70">
        <f t="shared" si="32"/>
        <v>1819968.197694957</v>
      </c>
      <c r="AQ127" s="70"/>
      <c r="AR127" s="70"/>
      <c r="AS127" s="71"/>
      <c r="AT127" s="107">
        <f>AH127/7.75%/0.9/7*12</f>
        <v>713375.85253456212</v>
      </c>
      <c r="AU127" s="107"/>
      <c r="AV127" s="113"/>
      <c r="AW127" s="74">
        <f t="shared" si="24"/>
        <v>1106592.3451603949</v>
      </c>
      <c r="AX127" s="74">
        <f t="shared" si="20"/>
        <v>1594352.4356362871</v>
      </c>
      <c r="AY127" s="75"/>
      <c r="AZ127" s="75"/>
      <c r="BA127" s="75"/>
    </row>
    <row r="128" spans="1:53" ht="25.5">
      <c r="A128" s="151">
        <f t="shared" si="25"/>
        <v>119</v>
      </c>
      <c r="B128" s="152" t="s">
        <v>238</v>
      </c>
      <c r="C128" s="153" t="s">
        <v>239</v>
      </c>
      <c r="D128" s="152" t="s">
        <v>105</v>
      </c>
      <c r="E128" s="152" t="s">
        <v>85</v>
      </c>
      <c r="F128" s="152"/>
      <c r="G128" s="152"/>
      <c r="H128" s="154">
        <v>43525</v>
      </c>
      <c r="I128" s="59" t="s">
        <v>175</v>
      </c>
      <c r="J128" s="155">
        <v>40000000</v>
      </c>
      <c r="K128" s="156">
        <v>7.7499999999999999E-2</v>
      </c>
      <c r="L128" s="157">
        <v>0.9</v>
      </c>
      <c r="M128" s="158">
        <v>9</v>
      </c>
      <c r="N128" s="157">
        <v>12</v>
      </c>
      <c r="O128" s="158">
        <f t="shared" si="26"/>
        <v>2092500</v>
      </c>
      <c r="P128" s="158">
        <f t="shared" si="27"/>
        <v>24266242.635932758</v>
      </c>
      <c r="Q128" s="158">
        <f t="shared" si="28"/>
        <v>1269427.8178922324</v>
      </c>
      <c r="R128" s="158">
        <f t="shared" si="29"/>
        <v>823072.18210776756</v>
      </c>
      <c r="S128" s="159">
        <v>0.606656065898319</v>
      </c>
      <c r="T128" s="158"/>
      <c r="U128" s="157"/>
      <c r="V128" s="158">
        <f t="shared" si="21"/>
        <v>24266242.635932758</v>
      </c>
      <c r="W128" s="158">
        <f t="shared" si="21"/>
        <v>1269427.8178922324</v>
      </c>
      <c r="X128" s="160">
        <f t="shared" si="22"/>
        <v>24266242.635932758</v>
      </c>
      <c r="Y128" s="160">
        <f t="shared" si="22"/>
        <v>1269427.8178922324</v>
      </c>
      <c r="Z128" s="177">
        <v>1162500</v>
      </c>
      <c r="AA128" s="177"/>
      <c r="AB128" s="160">
        <f t="shared" si="30"/>
        <v>106927.81789223244</v>
      </c>
      <c r="AC128" s="162">
        <v>1839618.3723394796</v>
      </c>
      <c r="AD128" s="162">
        <f t="shared" si="31"/>
        <v>2044020.4137105367</v>
      </c>
      <c r="AE128" s="162"/>
      <c r="AF128" s="163"/>
      <c r="AG128" s="163"/>
      <c r="AH128" s="68"/>
      <c r="AI128" s="68"/>
      <c r="AJ128" s="69"/>
      <c r="AK128" s="67">
        <f t="shared" si="23"/>
        <v>106927.81789223244</v>
      </c>
      <c r="AL128" s="67"/>
      <c r="AM128" s="67"/>
      <c r="AN128" s="67"/>
      <c r="AO128" s="67">
        <f t="shared" si="19"/>
        <v>106927.81789223244</v>
      </c>
      <c r="AP128" s="164">
        <f t="shared" si="32"/>
        <v>2299522.9654243537</v>
      </c>
      <c r="AQ128" s="164"/>
      <c r="AR128" s="164"/>
      <c r="AS128" s="165"/>
      <c r="AT128" s="72"/>
      <c r="AU128" s="72"/>
      <c r="AV128" s="73"/>
      <c r="AW128" s="74">
        <f t="shared" si="24"/>
        <v>2299522.9654243537</v>
      </c>
      <c r="AX128" s="74">
        <f t="shared" si="20"/>
        <v>3066030.6205658051</v>
      </c>
      <c r="AY128" s="150"/>
      <c r="AZ128" s="150"/>
      <c r="BA128" s="150"/>
    </row>
    <row r="129" spans="1:53" s="222" customFormat="1" ht="25.5">
      <c r="A129" s="77">
        <f t="shared" si="25"/>
        <v>120</v>
      </c>
      <c r="B129" s="78" t="s">
        <v>240</v>
      </c>
      <c r="C129" s="79" t="s">
        <v>241</v>
      </c>
      <c r="D129" s="78" t="s">
        <v>57</v>
      </c>
      <c r="E129" s="80" t="s">
        <v>58</v>
      </c>
      <c r="F129" s="78"/>
      <c r="G129" s="78"/>
      <c r="H129" s="81">
        <v>43556</v>
      </c>
      <c r="I129" s="81">
        <v>43556</v>
      </c>
      <c r="J129" s="82">
        <v>10000000</v>
      </c>
      <c r="K129" s="117">
        <v>7.7499999999999999E-2</v>
      </c>
      <c r="L129" s="85">
        <v>0.9</v>
      </c>
      <c r="M129" s="83">
        <v>8</v>
      </c>
      <c r="N129" s="85">
        <v>12</v>
      </c>
      <c r="O129" s="83">
        <f t="shared" si="26"/>
        <v>465000</v>
      </c>
      <c r="P129" s="83">
        <f t="shared" si="27"/>
        <v>6066560.6589831896</v>
      </c>
      <c r="Q129" s="83">
        <f t="shared" si="28"/>
        <v>282095.07064271829</v>
      </c>
      <c r="R129" s="83">
        <f t="shared" si="29"/>
        <v>182904.92935728171</v>
      </c>
      <c r="S129" s="84">
        <v>0.606656065898319</v>
      </c>
      <c r="T129" s="83"/>
      <c r="U129" s="85"/>
      <c r="V129" s="83">
        <f t="shared" si="21"/>
        <v>6066560.6589831896</v>
      </c>
      <c r="W129" s="83">
        <f t="shared" si="21"/>
        <v>282095.07064271829</v>
      </c>
      <c r="X129" s="86">
        <f t="shared" si="22"/>
        <v>6066560.6589831896</v>
      </c>
      <c r="Y129" s="86">
        <f t="shared" si="22"/>
        <v>282095.07064271829</v>
      </c>
      <c r="Z129" s="176">
        <v>282080.63</v>
      </c>
      <c r="AA129" s="176"/>
      <c r="AB129" s="86">
        <f t="shared" si="30"/>
        <v>14.440642718283925</v>
      </c>
      <c r="AC129" s="87">
        <v>248.52718655113131</v>
      </c>
      <c r="AD129" s="87">
        <f t="shared" si="31"/>
        <v>276.04573893971661</v>
      </c>
      <c r="AE129" s="87"/>
      <c r="AF129" s="88"/>
      <c r="AG129" s="88"/>
      <c r="AH129" s="88"/>
      <c r="AI129" s="88"/>
      <c r="AJ129" s="88"/>
      <c r="AK129" s="130">
        <f t="shared" si="23"/>
        <v>14.440642718283925</v>
      </c>
      <c r="AL129" s="130"/>
      <c r="AM129" s="130"/>
      <c r="AN129" s="130"/>
      <c r="AO129" s="130">
        <f t="shared" si="19"/>
        <v>14.440642718283925</v>
      </c>
      <c r="AP129" s="119">
        <f t="shared" si="32"/>
        <v>310.55145630718118</v>
      </c>
      <c r="AQ129" s="182"/>
      <c r="AR129" s="182"/>
      <c r="AS129" s="183"/>
      <c r="AT129" s="183"/>
      <c r="AU129" s="183"/>
      <c r="AV129" s="183"/>
      <c r="AW129" s="186">
        <f t="shared" si="24"/>
        <v>310.55145630718118</v>
      </c>
      <c r="AX129" s="186">
        <f t="shared" si="20"/>
        <v>414.06860840957495</v>
      </c>
      <c r="AY129" s="221"/>
      <c r="AZ129" s="221"/>
      <c r="BA129" s="221"/>
    </row>
    <row r="130" spans="1:53" s="76" customFormat="1" ht="25.5">
      <c r="A130" s="54">
        <f t="shared" si="25"/>
        <v>121</v>
      </c>
      <c r="B130" s="55" t="s">
        <v>242</v>
      </c>
      <c r="C130" s="56" t="s">
        <v>243</v>
      </c>
      <c r="D130" s="55" t="s">
        <v>57</v>
      </c>
      <c r="E130" s="55" t="s">
        <v>58</v>
      </c>
      <c r="F130" s="55"/>
      <c r="G130" s="55"/>
      <c r="H130" s="58">
        <v>43497</v>
      </c>
      <c r="I130" s="59" t="s">
        <v>130</v>
      </c>
      <c r="J130" s="60">
        <v>2000000</v>
      </c>
      <c r="K130" s="61">
        <v>7.7499999999999999E-2</v>
      </c>
      <c r="L130" s="62">
        <v>0.9</v>
      </c>
      <c r="M130" s="63">
        <v>10</v>
      </c>
      <c r="N130" s="62">
        <v>12</v>
      </c>
      <c r="O130" s="63">
        <f t="shared" si="26"/>
        <v>116250</v>
      </c>
      <c r="P130" s="63">
        <f t="shared" si="27"/>
        <v>1213312.131796638</v>
      </c>
      <c r="Q130" s="63">
        <f t="shared" si="28"/>
        <v>70523.767660679587</v>
      </c>
      <c r="R130" s="63">
        <f t="shared" si="29"/>
        <v>45726.232339320413</v>
      </c>
      <c r="S130" s="64">
        <v>0.606656065898319</v>
      </c>
      <c r="T130" s="63"/>
      <c r="U130" s="62"/>
      <c r="V130" s="63">
        <f t="shared" si="21"/>
        <v>1213312.131796638</v>
      </c>
      <c r="W130" s="63">
        <f t="shared" si="21"/>
        <v>70523.767660679587</v>
      </c>
      <c r="X130" s="65">
        <f t="shared" si="22"/>
        <v>1213312.131796638</v>
      </c>
      <c r="Y130" s="65">
        <f t="shared" si="22"/>
        <v>70523.767660679587</v>
      </c>
      <c r="Z130" s="178"/>
      <c r="AA130" s="178"/>
      <c r="AB130" s="65">
        <f t="shared" si="30"/>
        <v>70523.767660679587</v>
      </c>
      <c r="AC130" s="66">
        <v>1213312.131796638</v>
      </c>
      <c r="AD130" s="66">
        <f t="shared" si="31"/>
        <v>1348124.5908851533</v>
      </c>
      <c r="AE130" s="66"/>
      <c r="AF130" s="67"/>
      <c r="AG130" s="67"/>
      <c r="AH130" s="68"/>
      <c r="AI130" s="68"/>
      <c r="AJ130" s="69"/>
      <c r="AK130" s="67">
        <f t="shared" si="23"/>
        <v>70523.767660679587</v>
      </c>
      <c r="AL130" s="67"/>
      <c r="AM130" s="67"/>
      <c r="AN130" s="67"/>
      <c r="AO130" s="67">
        <f t="shared" si="19"/>
        <v>70523.767660679587</v>
      </c>
      <c r="AP130" s="70">
        <f t="shared" si="32"/>
        <v>1516640.1647457974</v>
      </c>
      <c r="AQ130" s="70"/>
      <c r="AR130" s="70"/>
      <c r="AS130" s="71"/>
      <c r="AT130" s="72"/>
      <c r="AU130" s="72"/>
      <c r="AV130" s="73"/>
      <c r="AW130" s="74">
        <f t="shared" si="24"/>
        <v>1516640.1647457974</v>
      </c>
      <c r="AX130" s="74">
        <f t="shared" si="20"/>
        <v>2022186.88632773</v>
      </c>
      <c r="AY130" s="75"/>
      <c r="AZ130" s="75"/>
      <c r="BA130" s="75"/>
    </row>
    <row r="131" spans="1:53" s="222" customFormat="1" ht="25.5">
      <c r="A131" s="77">
        <f t="shared" si="25"/>
        <v>122</v>
      </c>
      <c r="B131" s="78" t="s">
        <v>244</v>
      </c>
      <c r="C131" s="79" t="s">
        <v>245</v>
      </c>
      <c r="D131" s="78" t="s">
        <v>57</v>
      </c>
      <c r="E131" s="80" t="s">
        <v>85</v>
      </c>
      <c r="F131" s="78"/>
      <c r="G131" s="78"/>
      <c r="H131" s="81">
        <v>43497</v>
      </c>
      <c r="I131" s="81">
        <v>43497</v>
      </c>
      <c r="J131" s="82">
        <v>25000000</v>
      </c>
      <c r="K131" s="117">
        <v>7.7499999999999999E-2</v>
      </c>
      <c r="L131" s="85">
        <v>0.9</v>
      </c>
      <c r="M131" s="83">
        <v>10</v>
      </c>
      <c r="N131" s="85">
        <v>12</v>
      </c>
      <c r="O131" s="83">
        <f t="shared" si="26"/>
        <v>1453125</v>
      </c>
      <c r="P131" s="83">
        <f t="shared" si="27"/>
        <v>15166401.647457974</v>
      </c>
      <c r="Q131" s="83">
        <f t="shared" si="28"/>
        <v>881547.09575849457</v>
      </c>
      <c r="R131" s="83">
        <f t="shared" si="29"/>
        <v>571577.90424150543</v>
      </c>
      <c r="S131" s="84">
        <v>0.606656065898319</v>
      </c>
      <c r="T131" s="83"/>
      <c r="U131" s="85"/>
      <c r="V131" s="83">
        <f t="shared" si="21"/>
        <v>15166401.647457974</v>
      </c>
      <c r="W131" s="83">
        <f t="shared" si="21"/>
        <v>881547.09575849457</v>
      </c>
      <c r="X131" s="86">
        <f t="shared" si="22"/>
        <v>15166401.647457974</v>
      </c>
      <c r="Y131" s="86">
        <f t="shared" si="22"/>
        <v>881547.09575849457</v>
      </c>
      <c r="Z131" s="176">
        <f>1092750+99975-Z132</f>
        <v>881547.1</v>
      </c>
      <c r="AA131" s="176"/>
      <c r="AB131" s="86">
        <f t="shared" si="30"/>
        <v>-4.2415054049342871E-3</v>
      </c>
      <c r="AC131" s="87">
        <v>-2373693.7594571561</v>
      </c>
      <c r="AD131" s="87">
        <f t="shared" si="31"/>
        <v>-8.1080151109854948E-2</v>
      </c>
      <c r="AE131" s="87"/>
      <c r="AF131" s="88"/>
      <c r="AG131" s="88"/>
      <c r="AH131" s="88"/>
      <c r="AI131" s="88"/>
      <c r="AJ131" s="88"/>
      <c r="AK131" s="130">
        <f t="shared" si="23"/>
        <v>-4.2415054049342871E-3</v>
      </c>
      <c r="AL131" s="130"/>
      <c r="AM131" s="130"/>
      <c r="AN131" s="130"/>
      <c r="AO131" s="130">
        <f t="shared" si="19"/>
        <v>-4.2415054049342871E-3</v>
      </c>
      <c r="AP131" s="89">
        <f t="shared" si="32"/>
        <v>-9.1215169998586809E-2</v>
      </c>
      <c r="AQ131" s="182"/>
      <c r="AR131" s="182"/>
      <c r="AS131" s="183"/>
      <c r="AT131" s="183"/>
      <c r="AU131" s="183"/>
      <c r="AV131" s="183"/>
      <c r="AW131" s="186">
        <f t="shared" si="24"/>
        <v>-9.1215169998586809E-2</v>
      </c>
      <c r="AX131" s="223">
        <f t="shared" si="20"/>
        <v>-0.12162022666478242</v>
      </c>
      <c r="AY131" s="221"/>
      <c r="AZ131" s="221"/>
      <c r="BA131" s="221"/>
    </row>
    <row r="132" spans="1:53" ht="25.5">
      <c r="A132" s="151">
        <f t="shared" si="25"/>
        <v>123</v>
      </c>
      <c r="B132" s="152" t="s">
        <v>244</v>
      </c>
      <c r="C132" s="153" t="s">
        <v>245</v>
      </c>
      <c r="D132" s="152" t="s">
        <v>57</v>
      </c>
      <c r="E132" s="152" t="s">
        <v>85</v>
      </c>
      <c r="F132" s="152"/>
      <c r="G132" s="152"/>
      <c r="H132" s="154">
        <v>43525</v>
      </c>
      <c r="I132" s="179" t="s">
        <v>130</v>
      </c>
      <c r="J132" s="155">
        <v>10000000</v>
      </c>
      <c r="K132" s="156">
        <v>7.7499999999999999E-2</v>
      </c>
      <c r="L132" s="157">
        <v>0.9</v>
      </c>
      <c r="M132" s="158">
        <v>9</v>
      </c>
      <c r="N132" s="157">
        <v>12</v>
      </c>
      <c r="O132" s="158">
        <f t="shared" si="26"/>
        <v>523125</v>
      </c>
      <c r="P132" s="158">
        <f t="shared" si="27"/>
        <v>6066560.6589831896</v>
      </c>
      <c r="Q132" s="158">
        <f t="shared" si="28"/>
        <v>317356.95447305811</v>
      </c>
      <c r="R132" s="158">
        <f t="shared" si="29"/>
        <v>205768.04552694189</v>
      </c>
      <c r="S132" s="159">
        <v>0.606656065898319</v>
      </c>
      <c r="T132" s="158"/>
      <c r="U132" s="157"/>
      <c r="V132" s="158">
        <f t="shared" si="21"/>
        <v>6066560.6589831896</v>
      </c>
      <c r="W132" s="158">
        <f t="shared" si="21"/>
        <v>317356.95447305811</v>
      </c>
      <c r="X132" s="160">
        <f t="shared" si="22"/>
        <v>6066560.6589831896</v>
      </c>
      <c r="Y132" s="160">
        <f t="shared" si="22"/>
        <v>317356.95447305811</v>
      </c>
      <c r="Z132" s="177">
        <v>311177.90000000002</v>
      </c>
      <c r="AA132" s="177"/>
      <c r="AB132" s="160">
        <f t="shared" si="30"/>
        <v>6179.0544730580878</v>
      </c>
      <c r="AC132" s="162">
        <v>0</v>
      </c>
      <c r="AD132" s="162">
        <f t="shared" si="31"/>
        <v>118118.12612775314</v>
      </c>
      <c r="AE132" s="162"/>
      <c r="AF132" s="163"/>
      <c r="AG132" s="163"/>
      <c r="AH132" s="68"/>
      <c r="AI132" s="68"/>
      <c r="AJ132" s="69"/>
      <c r="AK132" s="67">
        <f t="shared" si="23"/>
        <v>6179.0544730580878</v>
      </c>
      <c r="AL132" s="67"/>
      <c r="AM132" s="67"/>
      <c r="AN132" s="67"/>
      <c r="AO132" s="67">
        <f t="shared" si="19"/>
        <v>6179.0544730580878</v>
      </c>
      <c r="AP132" s="164">
        <f t="shared" si="32"/>
        <v>132882.89189372229</v>
      </c>
      <c r="AQ132" s="164"/>
      <c r="AR132" s="164"/>
      <c r="AS132" s="165"/>
      <c r="AT132" s="72"/>
      <c r="AU132" s="72"/>
      <c r="AV132" s="73"/>
      <c r="AW132" s="74">
        <f t="shared" si="24"/>
        <v>132882.89189372229</v>
      </c>
      <c r="AX132" s="74">
        <f t="shared" si="20"/>
        <v>177177.18919162973</v>
      </c>
      <c r="AY132" s="150"/>
      <c r="AZ132" s="150"/>
      <c r="BA132" s="150"/>
    </row>
    <row r="133" spans="1:53" s="222" customFormat="1" ht="25.5">
      <c r="A133" s="77">
        <f t="shared" si="25"/>
        <v>124</v>
      </c>
      <c r="B133" s="78" t="s">
        <v>246</v>
      </c>
      <c r="C133" s="79" t="s">
        <v>247</v>
      </c>
      <c r="D133" s="78" t="s">
        <v>57</v>
      </c>
      <c r="E133" s="80" t="s">
        <v>85</v>
      </c>
      <c r="F133" s="78"/>
      <c r="G133" s="78"/>
      <c r="H133" s="81">
        <v>43525</v>
      </c>
      <c r="I133" s="81">
        <v>43525</v>
      </c>
      <c r="J133" s="82">
        <v>9000000</v>
      </c>
      <c r="K133" s="117">
        <v>7.7499999999999999E-2</v>
      </c>
      <c r="L133" s="85">
        <v>0.9</v>
      </c>
      <c r="M133" s="83">
        <v>9</v>
      </c>
      <c r="N133" s="85">
        <v>12</v>
      </c>
      <c r="O133" s="83">
        <f t="shared" si="26"/>
        <v>470812.5</v>
      </c>
      <c r="P133" s="83">
        <f t="shared" si="27"/>
        <v>5459904.5930848708</v>
      </c>
      <c r="Q133" s="83">
        <f t="shared" si="28"/>
        <v>285621.25902575225</v>
      </c>
      <c r="R133" s="83">
        <f t="shared" si="29"/>
        <v>185191.24097424775</v>
      </c>
      <c r="S133" s="84">
        <v>0.606656065898319</v>
      </c>
      <c r="T133" s="83"/>
      <c r="U133" s="85"/>
      <c r="V133" s="83">
        <f t="shared" si="21"/>
        <v>5459904.5930848708</v>
      </c>
      <c r="W133" s="83">
        <f t="shared" si="21"/>
        <v>285621.25902575225</v>
      </c>
      <c r="X133" s="86">
        <f t="shared" si="22"/>
        <v>5459904.5930848708</v>
      </c>
      <c r="Y133" s="86">
        <f t="shared" si="22"/>
        <v>285621.25902575225</v>
      </c>
      <c r="Z133" s="176">
        <f>380718.75-Z134</f>
        <v>285621.26</v>
      </c>
      <c r="AA133" s="176"/>
      <c r="AB133" s="86">
        <f t="shared" si="30"/>
        <v>-9.7424775594845414E-4</v>
      </c>
      <c r="AC133" s="87">
        <v>1885.5117018455639</v>
      </c>
      <c r="AD133" s="87">
        <f t="shared" si="31"/>
        <v>-1.8623613016935804E-2</v>
      </c>
      <c r="AE133" s="87"/>
      <c r="AF133" s="88"/>
      <c r="AG133" s="88"/>
      <c r="AH133" s="88"/>
      <c r="AI133" s="88"/>
      <c r="AJ133" s="88"/>
      <c r="AK133" s="130">
        <f t="shared" si="23"/>
        <v>-9.7424775594845414E-4</v>
      </c>
      <c r="AL133" s="130"/>
      <c r="AM133" s="130"/>
      <c r="AN133" s="130"/>
      <c r="AO133" s="130">
        <f t="shared" si="19"/>
        <v>-9.7424775594845414E-4</v>
      </c>
      <c r="AP133" s="89">
        <f t="shared" si="32"/>
        <v>-2.0951564644052775E-2</v>
      </c>
      <c r="AQ133" s="182"/>
      <c r="AR133" s="182"/>
      <c r="AS133" s="183"/>
      <c r="AT133" s="183"/>
      <c r="AU133" s="183"/>
      <c r="AV133" s="183"/>
      <c r="AW133" s="186">
        <f t="shared" si="24"/>
        <v>-2.0951564644052775E-2</v>
      </c>
      <c r="AX133" s="223">
        <f t="shared" si="20"/>
        <v>-2.7935419525403703E-2</v>
      </c>
      <c r="AY133" s="221"/>
      <c r="AZ133" s="221"/>
      <c r="BA133" s="221"/>
    </row>
    <row r="134" spans="1:53" s="222" customFormat="1" ht="29.25" customHeight="1">
      <c r="A134" s="77">
        <f t="shared" si="25"/>
        <v>125</v>
      </c>
      <c r="B134" s="78" t="s">
        <v>246</v>
      </c>
      <c r="C134" s="79" t="s">
        <v>247</v>
      </c>
      <c r="D134" s="78" t="s">
        <v>105</v>
      </c>
      <c r="E134" s="80" t="s">
        <v>85</v>
      </c>
      <c r="F134" s="78"/>
      <c r="G134" s="78"/>
      <c r="H134" s="81">
        <v>43525</v>
      </c>
      <c r="I134" s="81">
        <v>43525</v>
      </c>
      <c r="J134" s="82">
        <v>3000000</v>
      </c>
      <c r="K134" s="117">
        <v>7.7499999999999999E-2</v>
      </c>
      <c r="L134" s="85">
        <v>0.9</v>
      </c>
      <c r="M134" s="83">
        <v>9</v>
      </c>
      <c r="N134" s="85">
        <v>12</v>
      </c>
      <c r="O134" s="83">
        <f t="shared" si="26"/>
        <v>156937.5</v>
      </c>
      <c r="P134" s="83">
        <f t="shared" si="27"/>
        <v>1819968.197694957</v>
      </c>
      <c r="Q134" s="83">
        <f t="shared" si="28"/>
        <v>95207.086341917442</v>
      </c>
      <c r="R134" s="83">
        <f t="shared" si="29"/>
        <v>61730.413658082558</v>
      </c>
      <c r="S134" s="84">
        <v>0.606656065898319</v>
      </c>
      <c r="T134" s="83"/>
      <c r="U134" s="85"/>
      <c r="V134" s="83">
        <f t="shared" si="21"/>
        <v>1819968.197694957</v>
      </c>
      <c r="W134" s="83">
        <f t="shared" si="21"/>
        <v>95207.086341917442</v>
      </c>
      <c r="X134" s="86">
        <f t="shared" si="22"/>
        <v>1819968.197694957</v>
      </c>
      <c r="Y134" s="86">
        <f t="shared" si="22"/>
        <v>95207.086341917442</v>
      </c>
      <c r="Z134" s="93">
        <v>95097.49</v>
      </c>
      <c r="AA134" s="93"/>
      <c r="AB134" s="86">
        <f t="shared" si="30"/>
        <v>109.5963419174368</v>
      </c>
      <c r="AC134" s="87">
        <v>0</v>
      </c>
      <c r="AD134" s="87">
        <f t="shared" si="31"/>
        <v>2095.0316256618744</v>
      </c>
      <c r="AE134" s="87"/>
      <c r="AF134" s="88"/>
      <c r="AG134" s="88"/>
      <c r="AH134" s="88"/>
      <c r="AI134" s="88"/>
      <c r="AJ134" s="88"/>
      <c r="AK134" s="130">
        <f t="shared" si="23"/>
        <v>109.5963419174368</v>
      </c>
      <c r="AL134" s="130"/>
      <c r="AM134" s="130"/>
      <c r="AN134" s="130"/>
      <c r="AO134" s="130">
        <f t="shared" si="19"/>
        <v>109.5963419174368</v>
      </c>
      <c r="AP134" s="119">
        <f t="shared" si="32"/>
        <v>2356.9105788696088</v>
      </c>
      <c r="AQ134" s="182"/>
      <c r="AR134" s="182"/>
      <c r="AS134" s="183"/>
      <c r="AT134" s="183"/>
      <c r="AU134" s="183"/>
      <c r="AV134" s="183"/>
      <c r="AW134" s="186">
        <f t="shared" si="24"/>
        <v>2356.9105788696088</v>
      </c>
      <c r="AX134" s="186">
        <f t="shared" si="20"/>
        <v>3142.5474384928116</v>
      </c>
      <c r="AY134" s="221"/>
      <c r="AZ134" s="221"/>
      <c r="BA134" s="221"/>
    </row>
    <row r="135" spans="1:53" s="76" customFormat="1" ht="25.5">
      <c r="A135" s="54">
        <f t="shared" si="25"/>
        <v>126</v>
      </c>
      <c r="B135" s="55" t="s">
        <v>248</v>
      </c>
      <c r="C135" s="56" t="s">
        <v>249</v>
      </c>
      <c r="D135" s="55" t="s">
        <v>57</v>
      </c>
      <c r="E135" s="55" t="s">
        <v>58</v>
      </c>
      <c r="F135" s="55"/>
      <c r="G135" s="55"/>
      <c r="H135" s="58">
        <v>43586</v>
      </c>
      <c r="I135" s="58">
        <v>43586</v>
      </c>
      <c r="J135" s="60">
        <v>1000000</v>
      </c>
      <c r="K135" s="61">
        <v>7.7499999999999999E-2</v>
      </c>
      <c r="L135" s="62">
        <v>0.9</v>
      </c>
      <c r="M135" s="63">
        <v>7</v>
      </c>
      <c r="N135" s="62">
        <v>12</v>
      </c>
      <c r="O135" s="63">
        <f t="shared" si="26"/>
        <v>40687.5</v>
      </c>
      <c r="P135" s="63">
        <f t="shared" si="27"/>
        <v>606656.06589831901</v>
      </c>
      <c r="Q135" s="63">
        <f t="shared" si="28"/>
        <v>24683.318681237855</v>
      </c>
      <c r="R135" s="63">
        <f t="shared" si="29"/>
        <v>16004.181318762145</v>
      </c>
      <c r="S135" s="64">
        <v>0.606656065898319</v>
      </c>
      <c r="T135" s="63"/>
      <c r="U135" s="62"/>
      <c r="V135" s="63">
        <f t="shared" si="21"/>
        <v>606656.06589831901</v>
      </c>
      <c r="W135" s="63">
        <f t="shared" si="21"/>
        <v>24683.318681237855</v>
      </c>
      <c r="X135" s="65">
        <f t="shared" si="22"/>
        <v>606656.06589831901</v>
      </c>
      <c r="Y135" s="65">
        <f t="shared" si="22"/>
        <v>24683.318681237855</v>
      </c>
      <c r="Z135" s="65"/>
      <c r="AA135" s="65"/>
      <c r="AB135" s="65">
        <f t="shared" si="30"/>
        <v>24683.318681237855</v>
      </c>
      <c r="AC135" s="66">
        <v>424659.24612882326</v>
      </c>
      <c r="AD135" s="66">
        <f t="shared" si="31"/>
        <v>471843.60680980363</v>
      </c>
      <c r="AE135" s="66"/>
      <c r="AF135" s="67"/>
      <c r="AG135" s="67"/>
      <c r="AH135" s="68"/>
      <c r="AI135" s="68"/>
      <c r="AJ135" s="69"/>
      <c r="AK135" s="67">
        <f t="shared" si="23"/>
        <v>24683.318681237855</v>
      </c>
      <c r="AL135" s="67"/>
      <c r="AM135" s="67"/>
      <c r="AN135" s="67"/>
      <c r="AO135" s="67">
        <f t="shared" si="19"/>
        <v>24683.318681237855</v>
      </c>
      <c r="AP135" s="70">
        <f t="shared" si="32"/>
        <v>530824.05766102916</v>
      </c>
      <c r="AQ135" s="70"/>
      <c r="AR135" s="70"/>
      <c r="AS135" s="71"/>
      <c r="AT135" s="72"/>
      <c r="AU135" s="72"/>
      <c r="AV135" s="73"/>
      <c r="AW135" s="74">
        <f t="shared" si="24"/>
        <v>530824.05766102916</v>
      </c>
      <c r="AX135" s="74">
        <f t="shared" si="20"/>
        <v>707765.41021470551</v>
      </c>
      <c r="AY135" s="75"/>
      <c r="AZ135" s="75"/>
      <c r="BA135" s="75"/>
    </row>
    <row r="136" spans="1:53" s="76" customFormat="1" ht="25.5">
      <c r="A136" s="54">
        <f t="shared" si="25"/>
        <v>127</v>
      </c>
      <c r="B136" s="55" t="s">
        <v>250</v>
      </c>
      <c r="C136" s="56" t="s">
        <v>251</v>
      </c>
      <c r="D136" s="55" t="s">
        <v>57</v>
      </c>
      <c r="E136" s="55" t="s">
        <v>58</v>
      </c>
      <c r="F136" s="55"/>
      <c r="G136" s="55"/>
      <c r="H136" s="58">
        <v>43586</v>
      </c>
      <c r="I136" s="58">
        <v>43586</v>
      </c>
      <c r="J136" s="60">
        <v>1000000</v>
      </c>
      <c r="K136" s="61">
        <v>7.7499999999999999E-2</v>
      </c>
      <c r="L136" s="62">
        <v>0.9</v>
      </c>
      <c r="M136" s="63">
        <v>7</v>
      </c>
      <c r="N136" s="62">
        <v>12</v>
      </c>
      <c r="O136" s="63">
        <f t="shared" si="26"/>
        <v>40687.5</v>
      </c>
      <c r="P136" s="63">
        <f t="shared" si="27"/>
        <v>606656.06589831901</v>
      </c>
      <c r="Q136" s="63">
        <f t="shared" si="28"/>
        <v>24683.318681237855</v>
      </c>
      <c r="R136" s="63">
        <f t="shared" si="29"/>
        <v>16004.181318762145</v>
      </c>
      <c r="S136" s="64">
        <v>0.606656065898319</v>
      </c>
      <c r="T136" s="63"/>
      <c r="U136" s="62"/>
      <c r="V136" s="63">
        <f t="shared" si="21"/>
        <v>606656.06589831901</v>
      </c>
      <c r="W136" s="63">
        <f t="shared" si="21"/>
        <v>24683.318681237855</v>
      </c>
      <c r="X136" s="65">
        <f t="shared" si="22"/>
        <v>606656.06589831901</v>
      </c>
      <c r="Y136" s="65">
        <f t="shared" si="22"/>
        <v>24683.318681237855</v>
      </c>
      <c r="Z136" s="65"/>
      <c r="AA136" s="65"/>
      <c r="AB136" s="65">
        <f t="shared" si="30"/>
        <v>24683.318681237855</v>
      </c>
      <c r="AC136" s="66">
        <v>424659.24612882326</v>
      </c>
      <c r="AD136" s="66">
        <f t="shared" si="31"/>
        <v>471843.60680980363</v>
      </c>
      <c r="AE136" s="66"/>
      <c r="AF136" s="67"/>
      <c r="AG136" s="67"/>
      <c r="AH136" s="68"/>
      <c r="AI136" s="68"/>
      <c r="AJ136" s="69"/>
      <c r="AK136" s="67">
        <f t="shared" si="23"/>
        <v>24683.318681237855</v>
      </c>
      <c r="AL136" s="67"/>
      <c r="AM136" s="67"/>
      <c r="AN136" s="67"/>
      <c r="AO136" s="67">
        <f t="shared" si="19"/>
        <v>24683.318681237855</v>
      </c>
      <c r="AP136" s="70">
        <f t="shared" si="32"/>
        <v>530824.05766102916</v>
      </c>
      <c r="AQ136" s="70"/>
      <c r="AR136" s="70"/>
      <c r="AS136" s="71"/>
      <c r="AT136" s="72"/>
      <c r="AU136" s="72"/>
      <c r="AV136" s="73"/>
      <c r="AW136" s="74">
        <f t="shared" si="24"/>
        <v>530824.05766102916</v>
      </c>
      <c r="AX136" s="74">
        <f t="shared" si="20"/>
        <v>707765.41021470551</v>
      </c>
      <c r="AY136" s="75"/>
      <c r="AZ136" s="75"/>
      <c r="BA136" s="75"/>
    </row>
    <row r="137" spans="1:53" s="222" customFormat="1" ht="25.5">
      <c r="A137" s="77">
        <f t="shared" si="25"/>
        <v>128</v>
      </c>
      <c r="B137" s="78" t="s">
        <v>252</v>
      </c>
      <c r="C137" s="79" t="s">
        <v>253</v>
      </c>
      <c r="D137" s="78" t="s">
        <v>84</v>
      </c>
      <c r="E137" s="80"/>
      <c r="F137" s="78"/>
      <c r="G137" s="78"/>
      <c r="H137" s="81">
        <v>43497</v>
      </c>
      <c r="I137" s="81">
        <v>43497</v>
      </c>
      <c r="J137" s="82">
        <v>4000000</v>
      </c>
      <c r="K137" s="117">
        <v>7.7499999999999999E-2</v>
      </c>
      <c r="L137" s="85">
        <v>0.9</v>
      </c>
      <c r="M137" s="83">
        <v>10</v>
      </c>
      <c r="N137" s="85">
        <v>12</v>
      </c>
      <c r="O137" s="83">
        <f t="shared" si="26"/>
        <v>232500</v>
      </c>
      <c r="P137" s="83">
        <f t="shared" si="27"/>
        <v>2426624.263593276</v>
      </c>
      <c r="Q137" s="83">
        <f t="shared" si="28"/>
        <v>141047.53532135917</v>
      </c>
      <c r="R137" s="83">
        <f t="shared" si="29"/>
        <v>91452.464678640827</v>
      </c>
      <c r="S137" s="84">
        <v>0.606656065898319</v>
      </c>
      <c r="T137" s="118">
        <v>3000000</v>
      </c>
      <c r="U137" s="94">
        <v>174375</v>
      </c>
      <c r="V137" s="83">
        <f t="shared" si="21"/>
        <v>-573375.73640672397</v>
      </c>
      <c r="W137" s="83">
        <f t="shared" si="21"/>
        <v>-33327.464678640827</v>
      </c>
      <c r="X137" s="86">
        <f t="shared" si="22"/>
        <v>-573375.73640672397</v>
      </c>
      <c r="Y137" s="86">
        <f t="shared" si="22"/>
        <v>-33327.464678640827</v>
      </c>
      <c r="Z137" s="86"/>
      <c r="AA137" s="86"/>
      <c r="AB137" s="86">
        <f t="shared" si="30"/>
        <v>-33327.464678640827</v>
      </c>
      <c r="AC137" s="87">
        <v>-573375.73640672385</v>
      </c>
      <c r="AD137" s="87">
        <f t="shared" si="31"/>
        <v>-637084.15156302659</v>
      </c>
      <c r="AE137" s="87"/>
      <c r="AF137" s="88"/>
      <c r="AG137" s="88"/>
      <c r="AH137" s="88"/>
      <c r="AI137" s="88"/>
      <c r="AJ137" s="88"/>
      <c r="AK137" s="130">
        <f t="shared" si="23"/>
        <v>-33327.464678640827</v>
      </c>
      <c r="AL137" s="130"/>
      <c r="AM137" s="130"/>
      <c r="AN137" s="130"/>
      <c r="AO137" s="130">
        <f t="shared" ref="AO137:AO200" si="33">AK137-AL137-AM137-AN137</f>
        <v>-33327.464678640827</v>
      </c>
      <c r="AP137" s="89">
        <f t="shared" si="32"/>
        <v>-716719.67050840484</v>
      </c>
      <c r="AQ137" s="182"/>
      <c r="AR137" s="182"/>
      <c r="AS137" s="183"/>
      <c r="AT137" s="183"/>
      <c r="AU137" s="183"/>
      <c r="AV137" s="183"/>
      <c r="AW137" s="186">
        <f t="shared" si="24"/>
        <v>-716719.67050840484</v>
      </c>
      <c r="AX137" s="223">
        <f t="shared" ref="AX137:AX200" si="34">AO137/K137/L137/6*N137</f>
        <v>-955626.22734453995</v>
      </c>
      <c r="AY137" s="221"/>
      <c r="AZ137" s="221"/>
      <c r="BA137" s="221"/>
    </row>
    <row r="138" spans="1:53" s="76" customFormat="1" ht="38.25">
      <c r="A138" s="54">
        <f t="shared" si="25"/>
        <v>129</v>
      </c>
      <c r="B138" s="55" t="s">
        <v>254</v>
      </c>
      <c r="C138" s="56" t="s">
        <v>255</v>
      </c>
      <c r="D138" s="169" t="s">
        <v>256</v>
      </c>
      <c r="E138" s="55" t="s">
        <v>58</v>
      </c>
      <c r="F138" s="55"/>
      <c r="G138" s="55"/>
      <c r="H138" s="58">
        <v>43647</v>
      </c>
      <c r="I138" s="58">
        <v>43647</v>
      </c>
      <c r="J138" s="60">
        <v>5000000</v>
      </c>
      <c r="K138" s="61">
        <v>7.7499999999999999E-2</v>
      </c>
      <c r="L138" s="62">
        <v>0.9</v>
      </c>
      <c r="M138" s="63">
        <v>5</v>
      </c>
      <c r="N138" s="62">
        <v>12</v>
      </c>
      <c r="O138" s="63">
        <f t="shared" si="26"/>
        <v>145312.5</v>
      </c>
      <c r="P138" s="63">
        <f t="shared" si="27"/>
        <v>3033280.3294915948</v>
      </c>
      <c r="Q138" s="63">
        <f t="shared" si="28"/>
        <v>88154.709575849469</v>
      </c>
      <c r="R138" s="63">
        <f t="shared" si="29"/>
        <v>57157.790424150531</v>
      </c>
      <c r="S138" s="64">
        <v>0.606656065898319</v>
      </c>
      <c r="T138" s="63"/>
      <c r="U138" s="62"/>
      <c r="V138" s="63">
        <f t="shared" si="21"/>
        <v>3033280.3294915948</v>
      </c>
      <c r="W138" s="63">
        <f t="shared" si="21"/>
        <v>88154.709575849469</v>
      </c>
      <c r="X138" s="65">
        <f t="shared" si="22"/>
        <v>3033280.3294915948</v>
      </c>
      <c r="Y138" s="65">
        <f t="shared" si="22"/>
        <v>88154.709575849469</v>
      </c>
      <c r="Z138" s="65"/>
      <c r="AA138" s="65"/>
      <c r="AB138" s="65">
        <f t="shared" si="30"/>
        <v>88154.709575849469</v>
      </c>
      <c r="AC138" s="66">
        <v>1516640.1647457974</v>
      </c>
      <c r="AD138" s="66">
        <f t="shared" si="31"/>
        <v>1685155.7386064413</v>
      </c>
      <c r="AE138" s="66"/>
      <c r="AF138" s="67"/>
      <c r="AG138" s="67"/>
      <c r="AH138" s="68"/>
      <c r="AI138" s="68"/>
      <c r="AJ138" s="69"/>
      <c r="AK138" s="67">
        <f t="shared" ref="AK138:AK201" si="35">AB138+AF138-AE138-AG138-AH138-AI138-AJ138</f>
        <v>88154.709575849469</v>
      </c>
      <c r="AL138" s="67"/>
      <c r="AM138" s="67"/>
      <c r="AN138" s="67"/>
      <c r="AO138" s="67">
        <f t="shared" si="33"/>
        <v>88154.709575849469</v>
      </c>
      <c r="AP138" s="70">
        <f t="shared" si="32"/>
        <v>1895800.2059322465</v>
      </c>
      <c r="AQ138" s="70"/>
      <c r="AR138" s="70"/>
      <c r="AS138" s="180"/>
      <c r="AT138" s="72"/>
      <c r="AU138" s="72"/>
      <c r="AV138" s="73"/>
      <c r="AW138" s="74">
        <f t="shared" ref="AW138:AW201" si="36">AP138-AQ138+AR138-AS138-AT138-AU138-AV138</f>
        <v>1895800.2059322465</v>
      </c>
      <c r="AX138" s="74">
        <f t="shared" si="34"/>
        <v>2527733.6079096622</v>
      </c>
      <c r="AY138" s="75"/>
      <c r="AZ138" s="75"/>
      <c r="BA138" s="75"/>
    </row>
    <row r="139" spans="1:53" s="222" customFormat="1" ht="25.5">
      <c r="A139" s="77">
        <f t="shared" ref="A139:A202" si="37">A138+1</f>
        <v>130</v>
      </c>
      <c r="B139" s="78" t="s">
        <v>257</v>
      </c>
      <c r="C139" s="79" t="s">
        <v>258</v>
      </c>
      <c r="D139" s="78" t="s">
        <v>84</v>
      </c>
      <c r="E139" s="80" t="s">
        <v>58</v>
      </c>
      <c r="F139" s="78"/>
      <c r="G139" s="78"/>
      <c r="H139" s="81">
        <v>43497</v>
      </c>
      <c r="I139" s="81">
        <v>43497</v>
      </c>
      <c r="J139" s="82">
        <v>12000000</v>
      </c>
      <c r="K139" s="117">
        <v>7.7499999999999999E-2</v>
      </c>
      <c r="L139" s="85">
        <v>0.9</v>
      </c>
      <c r="M139" s="83">
        <v>10</v>
      </c>
      <c r="N139" s="85">
        <v>12</v>
      </c>
      <c r="O139" s="83">
        <f t="shared" si="26"/>
        <v>697500</v>
      </c>
      <c r="P139" s="83">
        <f t="shared" si="27"/>
        <v>7279872.7907798281</v>
      </c>
      <c r="Q139" s="83">
        <f t="shared" si="28"/>
        <v>423142.60596407746</v>
      </c>
      <c r="R139" s="83">
        <f t="shared" si="29"/>
        <v>274357.39403592254</v>
      </c>
      <c r="S139" s="84">
        <v>0.606656065898319</v>
      </c>
      <c r="T139" s="241">
        <v>18000000</v>
      </c>
      <c r="U139" s="181">
        <v>1046250</v>
      </c>
      <c r="V139" s="83">
        <f t="shared" ref="V139:W202" si="38">P139-T139</f>
        <v>-10720127.209220171</v>
      </c>
      <c r="W139" s="83">
        <f t="shared" si="38"/>
        <v>-623107.3940359226</v>
      </c>
      <c r="X139" s="86">
        <f t="shared" ref="X139:Y202" si="39">SUM(V139)</f>
        <v>-10720127.209220171</v>
      </c>
      <c r="Y139" s="86">
        <f t="shared" si="39"/>
        <v>-623107.3940359226</v>
      </c>
      <c r="Z139" s="86"/>
      <c r="AA139" s="86"/>
      <c r="AB139" s="86">
        <f t="shared" si="30"/>
        <v>-623107.3940359226</v>
      </c>
      <c r="AC139" s="87">
        <v>-13866878.682033621</v>
      </c>
      <c r="AD139" s="87">
        <f t="shared" si="31"/>
        <v>-11911252.45468908</v>
      </c>
      <c r="AE139" s="87"/>
      <c r="AF139" s="88"/>
      <c r="AG139" s="88"/>
      <c r="AH139" s="88"/>
      <c r="AI139" s="88"/>
      <c r="AJ139" s="88"/>
      <c r="AK139" s="130">
        <f t="shared" si="35"/>
        <v>-623107.3940359226</v>
      </c>
      <c r="AL139" s="130"/>
      <c r="AM139" s="130"/>
      <c r="AN139" s="130"/>
      <c r="AO139" s="130">
        <f t="shared" si="33"/>
        <v>-623107.3940359226</v>
      </c>
      <c r="AP139" s="89">
        <f t="shared" si="32"/>
        <v>-13400159.011525216</v>
      </c>
      <c r="AQ139" s="182"/>
      <c r="AR139" s="182"/>
      <c r="AS139" s="183"/>
      <c r="AT139" s="183"/>
      <c r="AU139" s="183"/>
      <c r="AV139" s="183"/>
      <c r="AW139" s="186">
        <f t="shared" si="36"/>
        <v>-13400159.011525216</v>
      </c>
      <c r="AX139" s="223">
        <f t="shared" si="34"/>
        <v>-17866878.682033621</v>
      </c>
      <c r="AY139" s="221"/>
      <c r="AZ139" s="221"/>
      <c r="BA139" s="221"/>
    </row>
    <row r="140" spans="1:53" s="222" customFormat="1" ht="25.5">
      <c r="A140" s="77">
        <f t="shared" si="37"/>
        <v>131</v>
      </c>
      <c r="B140" s="78" t="s">
        <v>257</v>
      </c>
      <c r="C140" s="79" t="s">
        <v>258</v>
      </c>
      <c r="D140" s="78" t="s">
        <v>259</v>
      </c>
      <c r="E140" s="80" t="s">
        <v>58</v>
      </c>
      <c r="F140" s="78"/>
      <c r="G140" s="78"/>
      <c r="H140" s="81">
        <v>43497</v>
      </c>
      <c r="I140" s="81">
        <v>43497</v>
      </c>
      <c r="J140" s="82">
        <v>8000000</v>
      </c>
      <c r="K140" s="117">
        <v>7.7499999999999999E-2</v>
      </c>
      <c r="L140" s="85">
        <v>0.9</v>
      </c>
      <c r="M140" s="83">
        <v>10</v>
      </c>
      <c r="N140" s="85">
        <v>12</v>
      </c>
      <c r="O140" s="83">
        <f t="shared" ref="O140:O203" si="40">J140*K140*L140*M140/N140</f>
        <v>465000</v>
      </c>
      <c r="P140" s="83">
        <f t="shared" ref="P140:P203" si="41">J140*0.606656065898319</f>
        <v>4853248.5271865521</v>
      </c>
      <c r="Q140" s="83">
        <f t="shared" ref="Q140:Q203" si="42">P140*K140*L140*M140/N140</f>
        <v>282095.07064271835</v>
      </c>
      <c r="R140" s="83">
        <f t="shared" ref="R140:R203" si="43">O140-Q140</f>
        <v>182904.92935728165</v>
      </c>
      <c r="S140" s="84">
        <v>0.606656065898319</v>
      </c>
      <c r="T140" s="241">
        <v>8000000</v>
      </c>
      <c r="U140" s="181">
        <v>465000</v>
      </c>
      <c r="V140" s="83">
        <f t="shared" si="38"/>
        <v>-3146751.4728134479</v>
      </c>
      <c r="W140" s="83">
        <f t="shared" si="38"/>
        <v>-182904.92935728165</v>
      </c>
      <c r="X140" s="86">
        <f t="shared" si="39"/>
        <v>-3146751.4728134479</v>
      </c>
      <c r="Y140" s="86">
        <f t="shared" si="39"/>
        <v>-182904.92935728165</v>
      </c>
      <c r="Z140" s="93"/>
      <c r="AA140" s="93"/>
      <c r="AB140" s="86">
        <f t="shared" si="30"/>
        <v>-182904.92935728165</v>
      </c>
      <c r="AC140" s="87">
        <v>0</v>
      </c>
      <c r="AD140" s="87">
        <f t="shared" si="31"/>
        <v>-3496390.525348275</v>
      </c>
      <c r="AE140" s="87"/>
      <c r="AF140" s="88"/>
      <c r="AG140" s="88"/>
      <c r="AH140" s="88"/>
      <c r="AI140" s="88"/>
      <c r="AJ140" s="88"/>
      <c r="AK140" s="130">
        <f t="shared" si="35"/>
        <v>-182904.92935728165</v>
      </c>
      <c r="AL140" s="130"/>
      <c r="AM140" s="130"/>
      <c r="AN140" s="130"/>
      <c r="AO140" s="130">
        <f t="shared" si="33"/>
        <v>-182904.92935728165</v>
      </c>
      <c r="AP140" s="89">
        <f t="shared" si="32"/>
        <v>-3933439.3410168095</v>
      </c>
      <c r="AQ140" s="182"/>
      <c r="AR140" s="182"/>
      <c r="AS140" s="183"/>
      <c r="AT140" s="183"/>
      <c r="AU140" s="183"/>
      <c r="AV140" s="183"/>
      <c r="AW140" s="186">
        <f t="shared" si="36"/>
        <v>-3933439.3410168095</v>
      </c>
      <c r="AX140" s="223">
        <f t="shared" si="34"/>
        <v>-5244585.7880224129</v>
      </c>
      <c r="AY140" s="221"/>
      <c r="AZ140" s="221"/>
      <c r="BA140" s="221"/>
    </row>
    <row r="141" spans="1:53" s="230" customFormat="1" ht="25.5">
      <c r="A141" s="120">
        <f t="shared" si="37"/>
        <v>132</v>
      </c>
      <c r="B141" s="80" t="s">
        <v>260</v>
      </c>
      <c r="C141" s="121" t="s">
        <v>261</v>
      </c>
      <c r="D141" s="80" t="s">
        <v>84</v>
      </c>
      <c r="E141" s="80" t="s">
        <v>58</v>
      </c>
      <c r="F141" s="80"/>
      <c r="G141" s="80"/>
      <c r="H141" s="122">
        <v>43497</v>
      </c>
      <c r="I141" s="81" t="s">
        <v>112</v>
      </c>
      <c r="J141" s="123">
        <f>82000000</f>
        <v>82000000</v>
      </c>
      <c r="K141" s="124">
        <v>7.7499999999999999E-2</v>
      </c>
      <c r="L141" s="125">
        <v>0.9</v>
      </c>
      <c r="M141" s="126">
        <v>10</v>
      </c>
      <c r="N141" s="125">
        <v>12</v>
      </c>
      <c r="O141" s="126">
        <f t="shared" si="40"/>
        <v>4766250</v>
      </c>
      <c r="P141" s="126">
        <f t="shared" si="41"/>
        <v>49745797.40366216</v>
      </c>
      <c r="Q141" s="126">
        <f t="shared" si="42"/>
        <v>2891474.4740878628</v>
      </c>
      <c r="R141" s="126">
        <f t="shared" si="43"/>
        <v>1874775.5259121372</v>
      </c>
      <c r="S141" s="127">
        <v>0.606656065898319</v>
      </c>
      <c r="T141" s="126"/>
      <c r="U141" s="125"/>
      <c r="V141" s="126">
        <f t="shared" si="38"/>
        <v>49745797.40366216</v>
      </c>
      <c r="W141" s="126">
        <f t="shared" si="38"/>
        <v>2891474.4740878628</v>
      </c>
      <c r="X141" s="128">
        <f t="shared" si="39"/>
        <v>49745797.40366216</v>
      </c>
      <c r="Y141" s="128">
        <f t="shared" si="39"/>
        <v>2891474.4740878628</v>
      </c>
      <c r="Z141" s="128"/>
      <c r="AA141" s="128"/>
      <c r="AB141" s="128">
        <f t="shared" si="30"/>
        <v>2891474.4740878628</v>
      </c>
      <c r="AC141" s="129">
        <v>49745797.403662145</v>
      </c>
      <c r="AD141" s="129">
        <f t="shared" si="31"/>
        <v>55273108.226291277</v>
      </c>
      <c r="AE141" s="129"/>
      <c r="AF141" s="130">
        <v>-2891474.47</v>
      </c>
      <c r="AG141" s="130"/>
      <c r="AH141" s="130"/>
      <c r="AI141" s="130"/>
      <c r="AJ141" s="130"/>
      <c r="AK141" s="130">
        <f t="shared" si="35"/>
        <v>4.0878625586628914E-3</v>
      </c>
      <c r="AL141" s="130"/>
      <c r="AM141" s="130"/>
      <c r="AN141" s="130"/>
      <c r="AO141" s="130">
        <f t="shared" si="33"/>
        <v>4.0878625586628914E-3</v>
      </c>
      <c r="AP141" s="119">
        <f t="shared" si="32"/>
        <v>62182246.754577689</v>
      </c>
      <c r="AQ141" s="119"/>
      <c r="AR141" s="182">
        <v>-62182246.75</v>
      </c>
      <c r="AS141" s="183"/>
      <c r="AT141" s="185"/>
      <c r="AU141" s="185"/>
      <c r="AV141" s="185"/>
      <c r="AW141" s="186">
        <f t="shared" si="36"/>
        <v>4.5776888728141785E-3</v>
      </c>
      <c r="AX141" s="186">
        <f t="shared" si="34"/>
        <v>0.11721469702259188</v>
      </c>
      <c r="AY141" s="229"/>
      <c r="AZ141" s="229"/>
      <c r="BA141" s="229"/>
    </row>
    <row r="142" spans="1:53" s="230" customFormat="1" ht="38.25">
      <c r="A142" s="120">
        <f t="shared" si="37"/>
        <v>133</v>
      </c>
      <c r="B142" s="135" t="s">
        <v>262</v>
      </c>
      <c r="C142" s="121" t="s">
        <v>263</v>
      </c>
      <c r="D142" s="80" t="s">
        <v>84</v>
      </c>
      <c r="E142" s="80"/>
      <c r="F142" s="80"/>
      <c r="G142" s="80"/>
      <c r="H142" s="122">
        <v>43497</v>
      </c>
      <c r="I142" s="81" t="s">
        <v>264</v>
      </c>
      <c r="J142" s="123">
        <v>6000000</v>
      </c>
      <c r="K142" s="124">
        <v>7.7499999999999999E-2</v>
      </c>
      <c r="L142" s="125">
        <v>0.9</v>
      </c>
      <c r="M142" s="126">
        <v>10</v>
      </c>
      <c r="N142" s="125">
        <v>12</v>
      </c>
      <c r="O142" s="126">
        <f t="shared" si="40"/>
        <v>348750</v>
      </c>
      <c r="P142" s="126">
        <f t="shared" si="41"/>
        <v>3639936.395389914</v>
      </c>
      <c r="Q142" s="126">
        <f t="shared" si="42"/>
        <v>211571.30298203873</v>
      </c>
      <c r="R142" s="126">
        <f t="shared" si="43"/>
        <v>137178.69701796127</v>
      </c>
      <c r="S142" s="127">
        <v>0.606656065898319</v>
      </c>
      <c r="T142" s="126"/>
      <c r="U142" s="125"/>
      <c r="V142" s="126">
        <f t="shared" si="38"/>
        <v>3639936.395389914</v>
      </c>
      <c r="W142" s="126">
        <f t="shared" si="38"/>
        <v>211571.30298203873</v>
      </c>
      <c r="X142" s="128">
        <f t="shared" si="39"/>
        <v>3639936.395389914</v>
      </c>
      <c r="Y142" s="128">
        <f t="shared" si="39"/>
        <v>211571.30298203873</v>
      </c>
      <c r="Z142" s="128"/>
      <c r="AA142" s="128"/>
      <c r="AB142" s="128">
        <f t="shared" ref="AB142:AB205" si="44">Y142-Z142-AA142</f>
        <v>211571.30298203873</v>
      </c>
      <c r="AC142" s="129">
        <v>3639936.395389914</v>
      </c>
      <c r="AD142" s="129">
        <f t="shared" si="31"/>
        <v>4044373.7726554601</v>
      </c>
      <c r="AE142" s="129"/>
      <c r="AF142" s="130">
        <v>-211571.3</v>
      </c>
      <c r="AG142" s="130"/>
      <c r="AH142" s="130"/>
      <c r="AI142" s="130"/>
      <c r="AJ142" s="130"/>
      <c r="AK142" s="130">
        <f t="shared" si="35"/>
        <v>2.9820387426298112E-3</v>
      </c>
      <c r="AL142" s="130"/>
      <c r="AM142" s="130"/>
      <c r="AN142" s="130"/>
      <c r="AO142" s="130">
        <f t="shared" si="33"/>
        <v>2.9820387426298112E-3</v>
      </c>
      <c r="AP142" s="119">
        <f t="shared" si="32"/>
        <v>4549920.4942373922</v>
      </c>
      <c r="AQ142" s="119"/>
      <c r="AR142" s="182">
        <v>-4549920.49</v>
      </c>
      <c r="AS142" s="183"/>
      <c r="AT142" s="185"/>
      <c r="AU142" s="185"/>
      <c r="AV142" s="185"/>
      <c r="AW142" s="186">
        <f t="shared" si="36"/>
        <v>4.2373919859528542E-3</v>
      </c>
      <c r="AX142" s="186">
        <f t="shared" si="34"/>
        <v>8.5506487243865559E-2</v>
      </c>
      <c r="AY142" s="229"/>
      <c r="AZ142" s="229"/>
      <c r="BA142" s="229"/>
    </row>
    <row r="143" spans="1:53" s="76" customFormat="1" ht="38.25">
      <c r="A143" s="54">
        <f t="shared" si="37"/>
        <v>134</v>
      </c>
      <c r="B143" s="55" t="s">
        <v>265</v>
      </c>
      <c r="C143" s="56" t="s">
        <v>266</v>
      </c>
      <c r="D143" s="55" t="s">
        <v>267</v>
      </c>
      <c r="E143" s="55" t="s">
        <v>58</v>
      </c>
      <c r="F143" s="55"/>
      <c r="G143" s="55"/>
      <c r="H143" s="58">
        <v>43525</v>
      </c>
      <c r="I143" s="115" t="s">
        <v>130</v>
      </c>
      <c r="J143" s="60">
        <v>5000000</v>
      </c>
      <c r="K143" s="61">
        <v>7.7499999999999999E-2</v>
      </c>
      <c r="L143" s="62">
        <v>0.9</v>
      </c>
      <c r="M143" s="63">
        <v>9</v>
      </c>
      <c r="N143" s="62">
        <v>12</v>
      </c>
      <c r="O143" s="63">
        <f t="shared" si="40"/>
        <v>261562.5</v>
      </c>
      <c r="P143" s="63">
        <f t="shared" si="41"/>
        <v>3033280.3294915948</v>
      </c>
      <c r="Q143" s="63">
        <f t="shared" si="42"/>
        <v>158678.47723652906</v>
      </c>
      <c r="R143" s="63">
        <f t="shared" si="43"/>
        <v>102884.02276347094</v>
      </c>
      <c r="S143" s="64">
        <v>0.606656065898319</v>
      </c>
      <c r="T143" s="63"/>
      <c r="U143" s="62"/>
      <c r="V143" s="63">
        <f t="shared" si="38"/>
        <v>3033280.3294915948</v>
      </c>
      <c r="W143" s="63">
        <f t="shared" si="38"/>
        <v>158678.47723652906</v>
      </c>
      <c r="X143" s="65">
        <f t="shared" si="39"/>
        <v>3033280.3294915948</v>
      </c>
      <c r="Y143" s="65">
        <f t="shared" si="39"/>
        <v>158678.47723652906</v>
      </c>
      <c r="Z143" s="65">
        <v>157568.12</v>
      </c>
      <c r="AA143" s="65"/>
      <c r="AB143" s="65">
        <f t="shared" si="44"/>
        <v>1110.3572365290602</v>
      </c>
      <c r="AC143" s="66">
        <v>-1670047.703457565</v>
      </c>
      <c r="AD143" s="66">
        <f t="shared" si="31"/>
        <v>21225.466887054914</v>
      </c>
      <c r="AE143" s="66"/>
      <c r="AF143" s="67"/>
      <c r="AG143" s="67"/>
      <c r="AH143" s="68"/>
      <c r="AI143" s="68"/>
      <c r="AJ143" s="69"/>
      <c r="AK143" s="67">
        <f t="shared" si="35"/>
        <v>1110.3572365290602</v>
      </c>
      <c r="AL143" s="67"/>
      <c r="AM143" s="67"/>
      <c r="AN143" s="67"/>
      <c r="AO143" s="67">
        <f t="shared" si="33"/>
        <v>1110.3572365290602</v>
      </c>
      <c r="AP143" s="70">
        <f t="shared" si="32"/>
        <v>23878.650247936777</v>
      </c>
      <c r="AQ143" s="70"/>
      <c r="AR143" s="70"/>
      <c r="AS143" s="71"/>
      <c r="AT143" s="72"/>
      <c r="AU143" s="72"/>
      <c r="AV143" s="73"/>
      <c r="AW143" s="74">
        <f t="shared" si="36"/>
        <v>23878.650247936777</v>
      </c>
      <c r="AX143" s="74">
        <f t="shared" si="34"/>
        <v>31838.200330582371</v>
      </c>
      <c r="AY143" s="75"/>
      <c r="AZ143" s="75"/>
      <c r="BA143" s="75"/>
    </row>
    <row r="144" spans="1:53" s="76" customFormat="1" ht="38.25">
      <c r="A144" s="54">
        <f t="shared" si="37"/>
        <v>135</v>
      </c>
      <c r="B144" s="55" t="s">
        <v>268</v>
      </c>
      <c r="C144" s="56" t="s">
        <v>269</v>
      </c>
      <c r="D144" s="55" t="s">
        <v>267</v>
      </c>
      <c r="E144" s="55" t="s">
        <v>58</v>
      </c>
      <c r="F144" s="55"/>
      <c r="G144" s="55"/>
      <c r="H144" s="58">
        <v>43497</v>
      </c>
      <c r="I144" s="115" t="s">
        <v>270</v>
      </c>
      <c r="J144" s="60">
        <v>20000000</v>
      </c>
      <c r="K144" s="61">
        <v>7.7499999999999999E-2</v>
      </c>
      <c r="L144" s="62">
        <v>0.9</v>
      </c>
      <c r="M144" s="63">
        <v>10</v>
      </c>
      <c r="N144" s="62">
        <v>12</v>
      </c>
      <c r="O144" s="63">
        <f t="shared" si="40"/>
        <v>1162500</v>
      </c>
      <c r="P144" s="63">
        <f t="shared" si="41"/>
        <v>12133121.317966379</v>
      </c>
      <c r="Q144" s="63">
        <f t="shared" si="42"/>
        <v>705237.67660679575</v>
      </c>
      <c r="R144" s="63">
        <f t="shared" si="43"/>
        <v>457262.32339320425</v>
      </c>
      <c r="S144" s="64">
        <v>0.606656065898319</v>
      </c>
      <c r="T144" s="63"/>
      <c r="U144" s="62"/>
      <c r="V144" s="63">
        <f t="shared" si="38"/>
        <v>12133121.317966379</v>
      </c>
      <c r="W144" s="63">
        <f t="shared" si="38"/>
        <v>705237.67660679575</v>
      </c>
      <c r="X144" s="65">
        <f t="shared" si="39"/>
        <v>12133121.317966379</v>
      </c>
      <c r="Y144" s="65">
        <f t="shared" si="39"/>
        <v>705237.67660679575</v>
      </c>
      <c r="Z144" s="65"/>
      <c r="AA144" s="65"/>
      <c r="AB144" s="65">
        <f t="shared" si="44"/>
        <v>705237.67660679575</v>
      </c>
      <c r="AC144" s="66">
        <v>19716322.141695369</v>
      </c>
      <c r="AD144" s="66">
        <f t="shared" si="31"/>
        <v>13481245.90885153</v>
      </c>
      <c r="AE144" s="66"/>
      <c r="AF144" s="67"/>
      <c r="AG144" s="67"/>
      <c r="AH144" s="68"/>
      <c r="AI144" s="68"/>
      <c r="AJ144" s="69"/>
      <c r="AK144" s="67">
        <f t="shared" si="35"/>
        <v>705237.67660679575</v>
      </c>
      <c r="AL144" s="67"/>
      <c r="AM144" s="67"/>
      <c r="AN144" s="67"/>
      <c r="AO144" s="67">
        <f t="shared" si="33"/>
        <v>705237.67660679575</v>
      </c>
      <c r="AP144" s="70">
        <f t="shared" si="32"/>
        <v>15166401.647457972</v>
      </c>
      <c r="AQ144" s="70"/>
      <c r="AR144" s="70"/>
      <c r="AS144" s="71"/>
      <c r="AT144" s="72"/>
      <c r="AU144" s="72"/>
      <c r="AV144" s="73"/>
      <c r="AW144" s="74">
        <f t="shared" si="36"/>
        <v>15166401.647457972</v>
      </c>
      <c r="AX144" s="74">
        <f t="shared" si="34"/>
        <v>20221868.863277297</v>
      </c>
      <c r="AY144" s="75"/>
      <c r="AZ144" s="75"/>
      <c r="BA144" s="75"/>
    </row>
    <row r="145" spans="1:53" s="76" customFormat="1" ht="25.5">
      <c r="A145" s="54">
        <f t="shared" si="37"/>
        <v>136</v>
      </c>
      <c r="B145" s="55" t="s">
        <v>268</v>
      </c>
      <c r="C145" s="56" t="s">
        <v>269</v>
      </c>
      <c r="D145" s="55" t="s">
        <v>105</v>
      </c>
      <c r="E145" s="55" t="s">
        <v>58</v>
      </c>
      <c r="F145" s="55"/>
      <c r="G145" s="55"/>
      <c r="H145" s="58">
        <v>43556</v>
      </c>
      <c r="I145" s="115" t="s">
        <v>271</v>
      </c>
      <c r="J145" s="60">
        <v>10000000</v>
      </c>
      <c r="K145" s="61">
        <v>7.7499999999999999E-2</v>
      </c>
      <c r="L145" s="62">
        <v>0.9</v>
      </c>
      <c r="M145" s="63">
        <v>8</v>
      </c>
      <c r="N145" s="62">
        <v>12</v>
      </c>
      <c r="O145" s="63">
        <f t="shared" si="40"/>
        <v>465000</v>
      </c>
      <c r="P145" s="63">
        <f t="shared" si="41"/>
        <v>6066560.6589831896</v>
      </c>
      <c r="Q145" s="63">
        <f t="shared" si="42"/>
        <v>282095.07064271829</v>
      </c>
      <c r="R145" s="63">
        <f t="shared" si="43"/>
        <v>182904.92935728171</v>
      </c>
      <c r="S145" s="64">
        <v>0.606656065898319</v>
      </c>
      <c r="T145" s="63"/>
      <c r="U145" s="62"/>
      <c r="V145" s="63">
        <f t="shared" si="38"/>
        <v>6066560.6589831896</v>
      </c>
      <c r="W145" s="63">
        <f t="shared" si="38"/>
        <v>282095.07064271829</v>
      </c>
      <c r="X145" s="65">
        <f t="shared" si="39"/>
        <v>6066560.6589831896</v>
      </c>
      <c r="Y145" s="65">
        <f t="shared" si="39"/>
        <v>282095.07064271829</v>
      </c>
      <c r="Z145" s="65"/>
      <c r="AA145" s="65"/>
      <c r="AB145" s="65">
        <f t="shared" si="44"/>
        <v>282095.07064271829</v>
      </c>
      <c r="AC145" s="66">
        <v>0</v>
      </c>
      <c r="AD145" s="66">
        <f t="shared" si="31"/>
        <v>5392498.3635406131</v>
      </c>
      <c r="AE145" s="66"/>
      <c r="AF145" s="67"/>
      <c r="AG145" s="67"/>
      <c r="AH145" s="68"/>
      <c r="AI145" s="68"/>
      <c r="AJ145" s="69"/>
      <c r="AK145" s="67">
        <f t="shared" si="35"/>
        <v>282095.07064271829</v>
      </c>
      <c r="AL145" s="67"/>
      <c r="AM145" s="67"/>
      <c r="AN145" s="67"/>
      <c r="AO145" s="67">
        <f t="shared" si="33"/>
        <v>282095.07064271829</v>
      </c>
      <c r="AP145" s="70">
        <f t="shared" si="32"/>
        <v>6066560.6589831896</v>
      </c>
      <c r="AQ145" s="70"/>
      <c r="AR145" s="70"/>
      <c r="AS145" s="71"/>
      <c r="AT145" s="72"/>
      <c r="AU145" s="72"/>
      <c r="AV145" s="73"/>
      <c r="AW145" s="74">
        <f t="shared" si="36"/>
        <v>6066560.6589831896</v>
      </c>
      <c r="AX145" s="74">
        <f t="shared" si="34"/>
        <v>8088747.5453109201</v>
      </c>
      <c r="AY145" s="75"/>
      <c r="AZ145" s="75"/>
      <c r="BA145" s="75"/>
    </row>
    <row r="146" spans="1:53" s="76" customFormat="1" ht="25.5">
      <c r="A146" s="54">
        <f t="shared" si="37"/>
        <v>137</v>
      </c>
      <c r="B146" s="55" t="s">
        <v>268</v>
      </c>
      <c r="C146" s="56" t="s">
        <v>269</v>
      </c>
      <c r="D146" s="55" t="s">
        <v>105</v>
      </c>
      <c r="E146" s="55" t="s">
        <v>58</v>
      </c>
      <c r="F146" s="55"/>
      <c r="G146" s="55"/>
      <c r="H146" s="58">
        <v>43709</v>
      </c>
      <c r="I146" s="58">
        <v>43709</v>
      </c>
      <c r="J146" s="60">
        <v>15000000</v>
      </c>
      <c r="K146" s="61">
        <v>7.7499999999999999E-2</v>
      </c>
      <c r="L146" s="62">
        <v>0.9</v>
      </c>
      <c r="M146" s="63">
        <v>3</v>
      </c>
      <c r="N146" s="62">
        <v>12</v>
      </c>
      <c r="O146" s="63">
        <f t="shared" si="40"/>
        <v>261562.5</v>
      </c>
      <c r="P146" s="63">
        <f t="shared" si="41"/>
        <v>9099840.9884747844</v>
      </c>
      <c r="Q146" s="63">
        <f t="shared" si="42"/>
        <v>158678.47723652906</v>
      </c>
      <c r="R146" s="63">
        <f t="shared" si="43"/>
        <v>102884.02276347094</v>
      </c>
      <c r="S146" s="64">
        <v>0.606656065898319</v>
      </c>
      <c r="T146" s="63"/>
      <c r="U146" s="62"/>
      <c r="V146" s="63">
        <f t="shared" si="38"/>
        <v>9099840.9884747844</v>
      </c>
      <c r="W146" s="63">
        <f t="shared" si="38"/>
        <v>158678.47723652906</v>
      </c>
      <c r="X146" s="65">
        <f t="shared" si="39"/>
        <v>9099840.9884747844</v>
      </c>
      <c r="Y146" s="65">
        <f t="shared" si="39"/>
        <v>158678.47723652906</v>
      </c>
      <c r="Z146" s="65"/>
      <c r="AA146" s="65"/>
      <c r="AB146" s="65">
        <f t="shared" si="44"/>
        <v>158678.47723652906</v>
      </c>
      <c r="AC146" s="66">
        <v>0</v>
      </c>
      <c r="AD146" s="66">
        <f t="shared" si="31"/>
        <v>3033280.3294915948</v>
      </c>
      <c r="AE146" s="66"/>
      <c r="AF146" s="67"/>
      <c r="AG146" s="67"/>
      <c r="AH146" s="68"/>
      <c r="AI146" s="68"/>
      <c r="AJ146" s="69"/>
      <c r="AK146" s="67">
        <f t="shared" si="35"/>
        <v>158678.47723652906</v>
      </c>
      <c r="AL146" s="67"/>
      <c r="AM146" s="67"/>
      <c r="AN146" s="67"/>
      <c r="AO146" s="67">
        <f t="shared" si="33"/>
        <v>158678.47723652906</v>
      </c>
      <c r="AP146" s="70">
        <f t="shared" si="32"/>
        <v>3412440.3706780439</v>
      </c>
      <c r="AQ146" s="70"/>
      <c r="AR146" s="70"/>
      <c r="AS146" s="71"/>
      <c r="AT146" s="72"/>
      <c r="AU146" s="72"/>
      <c r="AV146" s="73"/>
      <c r="AW146" s="74">
        <f t="shared" si="36"/>
        <v>3412440.3706780439</v>
      </c>
      <c r="AX146" s="74">
        <f t="shared" si="34"/>
        <v>4549920.4942373922</v>
      </c>
      <c r="AY146" s="75"/>
      <c r="AZ146" s="75"/>
      <c r="BA146" s="75"/>
    </row>
    <row r="147" spans="1:53" s="2" customFormat="1" ht="25.5">
      <c r="A147" s="97">
        <f t="shared" si="37"/>
        <v>138</v>
      </c>
      <c r="B147" s="98" t="s">
        <v>272</v>
      </c>
      <c r="C147" s="109" t="s">
        <v>273</v>
      </c>
      <c r="D147" s="98" t="s">
        <v>274</v>
      </c>
      <c r="E147" s="110" t="s">
        <v>85</v>
      </c>
      <c r="F147" s="98"/>
      <c r="G147" s="98"/>
      <c r="H147" s="100">
        <v>43497</v>
      </c>
      <c r="I147" s="58" t="s">
        <v>102</v>
      </c>
      <c r="J147" s="101">
        <v>40000000</v>
      </c>
      <c r="K147" s="111">
        <v>7.7499999999999999E-2</v>
      </c>
      <c r="L147" s="104">
        <v>0.9</v>
      </c>
      <c r="M147" s="102">
        <v>10</v>
      </c>
      <c r="N147" s="104">
        <v>12</v>
      </c>
      <c r="O147" s="102">
        <f t="shared" si="40"/>
        <v>2325000</v>
      </c>
      <c r="P147" s="102">
        <f t="shared" si="41"/>
        <v>24266242.635932758</v>
      </c>
      <c r="Q147" s="102">
        <f t="shared" si="42"/>
        <v>1410475.3532135915</v>
      </c>
      <c r="R147" s="102">
        <f t="shared" si="43"/>
        <v>914524.6467864085</v>
      </c>
      <c r="S147" s="103">
        <v>0.606656065898319</v>
      </c>
      <c r="T147" s="102"/>
      <c r="U147" s="104"/>
      <c r="V147" s="102">
        <f t="shared" si="38"/>
        <v>24266242.635932758</v>
      </c>
      <c r="W147" s="102">
        <f t="shared" si="38"/>
        <v>1410475.3532135915</v>
      </c>
      <c r="X147" s="105">
        <f t="shared" si="39"/>
        <v>24266242.635932758</v>
      </c>
      <c r="Y147" s="105">
        <f t="shared" si="39"/>
        <v>1410475.3532135915</v>
      </c>
      <c r="Z147" s="105">
        <v>1395000</v>
      </c>
      <c r="AA147" s="105"/>
      <c r="AB147" s="105">
        <f t="shared" si="44"/>
        <v>15475.353213591501</v>
      </c>
      <c r="AC147" s="106">
        <v>-10733757.364067242</v>
      </c>
      <c r="AD147" s="106">
        <f t="shared" si="31"/>
        <v>295825.15103639662</v>
      </c>
      <c r="AE147" s="106"/>
      <c r="AF147" s="68"/>
      <c r="AG147" s="68"/>
      <c r="AH147" s="68"/>
      <c r="AI147" s="68"/>
      <c r="AJ147" s="69"/>
      <c r="AK147" s="67">
        <f t="shared" si="35"/>
        <v>15475.353213591501</v>
      </c>
      <c r="AL147" s="67"/>
      <c r="AM147" s="67"/>
      <c r="AN147" s="67"/>
      <c r="AO147" s="67">
        <f t="shared" si="33"/>
        <v>15475.353213591501</v>
      </c>
      <c r="AP147" s="107">
        <f t="shared" si="32"/>
        <v>332803.29491594626</v>
      </c>
      <c r="AQ147" s="107"/>
      <c r="AR147" s="107"/>
      <c r="AS147" s="72"/>
      <c r="AT147" s="72"/>
      <c r="AU147" s="72"/>
      <c r="AV147" s="73"/>
      <c r="AW147" s="74">
        <f t="shared" si="36"/>
        <v>332803.29491594626</v>
      </c>
      <c r="AX147" s="74">
        <f t="shared" si="34"/>
        <v>443737.72655459505</v>
      </c>
      <c r="AY147" s="108"/>
      <c r="AZ147" s="108"/>
      <c r="BA147" s="108"/>
    </row>
    <row r="148" spans="1:53" s="222" customFormat="1" ht="38.25">
      <c r="A148" s="77">
        <f t="shared" si="37"/>
        <v>139</v>
      </c>
      <c r="B148" s="78" t="s">
        <v>275</v>
      </c>
      <c r="C148" s="79" t="s">
        <v>276</v>
      </c>
      <c r="D148" s="78" t="s">
        <v>267</v>
      </c>
      <c r="E148" s="80" t="s">
        <v>85</v>
      </c>
      <c r="F148" s="78"/>
      <c r="G148" s="78"/>
      <c r="H148" s="81">
        <v>43497</v>
      </c>
      <c r="I148" s="81">
        <v>43497</v>
      </c>
      <c r="J148" s="82">
        <v>10000000</v>
      </c>
      <c r="K148" s="117">
        <v>7.7499999999999999E-2</v>
      </c>
      <c r="L148" s="85">
        <v>0.9</v>
      </c>
      <c r="M148" s="83">
        <v>10</v>
      </c>
      <c r="N148" s="85">
        <v>12</v>
      </c>
      <c r="O148" s="83">
        <f t="shared" si="40"/>
        <v>581250</v>
      </c>
      <c r="P148" s="83">
        <f t="shared" si="41"/>
        <v>6066560.6589831896</v>
      </c>
      <c r="Q148" s="83">
        <f t="shared" si="42"/>
        <v>352618.83830339788</v>
      </c>
      <c r="R148" s="83">
        <f t="shared" si="43"/>
        <v>228631.16169660212</v>
      </c>
      <c r="S148" s="84">
        <v>0.606656065898319</v>
      </c>
      <c r="T148" s="83"/>
      <c r="U148" s="85"/>
      <c r="V148" s="83">
        <f t="shared" si="38"/>
        <v>6066560.6589831896</v>
      </c>
      <c r="W148" s="83">
        <f t="shared" si="38"/>
        <v>352618.83830339788</v>
      </c>
      <c r="X148" s="86">
        <f t="shared" si="39"/>
        <v>6066560.6589831896</v>
      </c>
      <c r="Y148" s="86">
        <f>SUM(W148)-25254.4</f>
        <v>327364.43830339785</v>
      </c>
      <c r="Z148" s="86">
        <f>581249.99-Z149-Z150</f>
        <v>327364.42999999993</v>
      </c>
      <c r="AA148" s="86"/>
      <c r="AB148" s="86">
        <f t="shared" si="44"/>
        <v>8.303397917188704E-3</v>
      </c>
      <c r="AC148" s="87">
        <v>3.2375816255807877E-2</v>
      </c>
      <c r="AD148" s="87">
        <f t="shared" si="31"/>
        <v>0.15872684190563829</v>
      </c>
      <c r="AE148" s="87"/>
      <c r="AF148" s="88"/>
      <c r="AG148" s="88"/>
      <c r="AH148" s="88"/>
      <c r="AI148" s="88"/>
      <c r="AJ148" s="88"/>
      <c r="AK148" s="130">
        <f t="shared" si="35"/>
        <v>8.303397917188704E-3</v>
      </c>
      <c r="AL148" s="130"/>
      <c r="AM148" s="130"/>
      <c r="AN148" s="130"/>
      <c r="AO148" s="130">
        <f t="shared" si="33"/>
        <v>8.303397917188704E-3</v>
      </c>
      <c r="AP148" s="119">
        <f t="shared" si="32"/>
        <v>0.1785676971438431</v>
      </c>
      <c r="AQ148" s="182"/>
      <c r="AR148" s="182"/>
      <c r="AS148" s="183"/>
      <c r="AT148" s="183"/>
      <c r="AU148" s="183"/>
      <c r="AV148" s="183"/>
      <c r="AW148" s="186">
        <f t="shared" si="36"/>
        <v>0.1785676971438431</v>
      </c>
      <c r="AX148" s="186">
        <f t="shared" si="34"/>
        <v>0.23809026285845747</v>
      </c>
      <c r="AY148" s="221"/>
      <c r="AZ148" s="221"/>
      <c r="BA148" s="221"/>
    </row>
    <row r="149" spans="1:53" s="222" customFormat="1" ht="25.5">
      <c r="A149" s="77">
        <f t="shared" si="37"/>
        <v>140</v>
      </c>
      <c r="B149" s="78" t="s">
        <v>275</v>
      </c>
      <c r="C149" s="79" t="s">
        <v>276</v>
      </c>
      <c r="D149" s="78" t="s">
        <v>105</v>
      </c>
      <c r="E149" s="80" t="s">
        <v>85</v>
      </c>
      <c r="F149" s="78"/>
      <c r="G149" s="78"/>
      <c r="H149" s="81">
        <v>43556</v>
      </c>
      <c r="I149" s="81">
        <v>43556</v>
      </c>
      <c r="J149" s="82">
        <v>6000000</v>
      </c>
      <c r="K149" s="117">
        <v>7.7499999999999999E-2</v>
      </c>
      <c r="L149" s="85">
        <v>0.9</v>
      </c>
      <c r="M149" s="83">
        <v>8</v>
      </c>
      <c r="N149" s="85">
        <v>12</v>
      </c>
      <c r="O149" s="83">
        <f t="shared" si="40"/>
        <v>279000</v>
      </c>
      <c r="P149" s="83">
        <f t="shared" si="41"/>
        <v>3639936.395389914</v>
      </c>
      <c r="Q149" s="83">
        <f t="shared" si="42"/>
        <v>169257.04238563101</v>
      </c>
      <c r="R149" s="83">
        <f t="shared" si="43"/>
        <v>109742.95761436899</v>
      </c>
      <c r="S149" s="84">
        <v>0.606656065898319</v>
      </c>
      <c r="T149" s="83"/>
      <c r="U149" s="85"/>
      <c r="V149" s="83">
        <f t="shared" si="38"/>
        <v>3639936.395389914</v>
      </c>
      <c r="W149" s="83">
        <f t="shared" si="38"/>
        <v>169257.04238563101</v>
      </c>
      <c r="X149" s="86">
        <f t="shared" si="39"/>
        <v>3639936.395389914</v>
      </c>
      <c r="Y149" s="86">
        <f t="shared" si="39"/>
        <v>169257.04238563101</v>
      </c>
      <c r="Z149" s="86">
        <v>169257.04</v>
      </c>
      <c r="AA149" s="86"/>
      <c r="AB149" s="86">
        <f t="shared" si="44"/>
        <v>2.385630999924615E-3</v>
      </c>
      <c r="AC149" s="87">
        <v>0</v>
      </c>
      <c r="AD149" s="87">
        <f t="shared" si="31"/>
        <v>4.5603459974664085E-2</v>
      </c>
      <c r="AE149" s="87"/>
      <c r="AF149" s="88"/>
      <c r="AG149" s="88"/>
      <c r="AH149" s="88"/>
      <c r="AI149" s="88"/>
      <c r="AJ149" s="88"/>
      <c r="AK149" s="130">
        <f t="shared" si="35"/>
        <v>2.385630999924615E-3</v>
      </c>
      <c r="AL149" s="130"/>
      <c r="AM149" s="130"/>
      <c r="AN149" s="130"/>
      <c r="AO149" s="130">
        <f t="shared" si="33"/>
        <v>2.385630999924615E-3</v>
      </c>
      <c r="AP149" s="119">
        <f t="shared" si="32"/>
        <v>5.1303892471497095E-2</v>
      </c>
      <c r="AQ149" s="182"/>
      <c r="AR149" s="182"/>
      <c r="AS149" s="183"/>
      <c r="AT149" s="183"/>
      <c r="AU149" s="183"/>
      <c r="AV149" s="183"/>
      <c r="AW149" s="186">
        <f t="shared" si="36"/>
        <v>5.1303892471497095E-2</v>
      </c>
      <c r="AX149" s="186">
        <f t="shared" si="34"/>
        <v>6.8405189961996127E-2</v>
      </c>
      <c r="AY149" s="221"/>
      <c r="AZ149" s="221"/>
      <c r="BA149" s="221"/>
    </row>
    <row r="150" spans="1:53" s="222" customFormat="1" ht="25.5">
      <c r="A150" s="77">
        <f t="shared" si="37"/>
        <v>141</v>
      </c>
      <c r="B150" s="78" t="s">
        <v>275</v>
      </c>
      <c r="C150" s="79" t="s">
        <v>276</v>
      </c>
      <c r="D150" s="78" t="s">
        <v>105</v>
      </c>
      <c r="E150" s="80" t="s">
        <v>85</v>
      </c>
      <c r="F150" s="78"/>
      <c r="G150" s="78"/>
      <c r="H150" s="81">
        <v>43739</v>
      </c>
      <c r="I150" s="81">
        <v>43739</v>
      </c>
      <c r="J150" s="82">
        <v>12000000</v>
      </c>
      <c r="K150" s="117">
        <v>7.7499999999999999E-2</v>
      </c>
      <c r="L150" s="85">
        <v>0.9</v>
      </c>
      <c r="M150" s="83">
        <v>2</v>
      </c>
      <c r="N150" s="85">
        <v>12</v>
      </c>
      <c r="O150" s="83">
        <f t="shared" si="40"/>
        <v>139500</v>
      </c>
      <c r="P150" s="83">
        <f t="shared" si="41"/>
        <v>7279872.7907798281</v>
      </c>
      <c r="Q150" s="83">
        <f t="shared" si="42"/>
        <v>84628.521192815504</v>
      </c>
      <c r="R150" s="83">
        <f t="shared" si="43"/>
        <v>54871.478807184496</v>
      </c>
      <c r="S150" s="84">
        <v>0.606656065898319</v>
      </c>
      <c r="T150" s="83"/>
      <c r="U150" s="85"/>
      <c r="V150" s="83">
        <f t="shared" si="38"/>
        <v>7279872.7907798281</v>
      </c>
      <c r="W150" s="83">
        <f t="shared" si="38"/>
        <v>84628.521192815504</v>
      </c>
      <c r="X150" s="86">
        <f t="shared" si="39"/>
        <v>7279872.7907798281</v>
      </c>
      <c r="Y150" s="86">
        <f t="shared" si="39"/>
        <v>84628.521192815504</v>
      </c>
      <c r="Z150" s="86">
        <v>84628.52</v>
      </c>
      <c r="AA150" s="86"/>
      <c r="AB150" s="86">
        <f t="shared" si="44"/>
        <v>1.1928154999623075E-3</v>
      </c>
      <c r="AC150" s="87">
        <v>0</v>
      </c>
      <c r="AD150" s="87">
        <f t="shared" si="31"/>
        <v>2.2801729987332042E-2</v>
      </c>
      <c r="AE150" s="87"/>
      <c r="AF150" s="88"/>
      <c r="AG150" s="88"/>
      <c r="AH150" s="88"/>
      <c r="AI150" s="88"/>
      <c r="AJ150" s="88"/>
      <c r="AK150" s="130">
        <f t="shared" si="35"/>
        <v>1.1928154999623075E-3</v>
      </c>
      <c r="AL150" s="130"/>
      <c r="AM150" s="130"/>
      <c r="AN150" s="130"/>
      <c r="AO150" s="130">
        <f t="shared" si="33"/>
        <v>1.1928154999623075E-3</v>
      </c>
      <c r="AP150" s="119">
        <f t="shared" si="32"/>
        <v>2.5651946235748548E-2</v>
      </c>
      <c r="AQ150" s="182"/>
      <c r="AR150" s="182"/>
      <c r="AS150" s="183"/>
      <c r="AT150" s="183"/>
      <c r="AU150" s="183"/>
      <c r="AV150" s="183"/>
      <c r="AW150" s="186">
        <f t="shared" si="36"/>
        <v>2.5651946235748548E-2</v>
      </c>
      <c r="AX150" s="186">
        <f t="shared" si="34"/>
        <v>3.4202594980998063E-2</v>
      </c>
      <c r="AY150" s="221"/>
      <c r="AZ150" s="221"/>
      <c r="BA150" s="221"/>
    </row>
    <row r="151" spans="1:53" s="222" customFormat="1" ht="25.5">
      <c r="A151" s="77">
        <f t="shared" si="37"/>
        <v>142</v>
      </c>
      <c r="B151" s="78" t="s">
        <v>277</v>
      </c>
      <c r="C151" s="79" t="s">
        <v>278</v>
      </c>
      <c r="D151" s="78" t="s">
        <v>57</v>
      </c>
      <c r="E151" s="80" t="s">
        <v>58</v>
      </c>
      <c r="F151" s="78"/>
      <c r="G151" s="78"/>
      <c r="H151" s="81">
        <v>43525</v>
      </c>
      <c r="I151" s="81">
        <v>43525</v>
      </c>
      <c r="J151" s="82">
        <v>7000000</v>
      </c>
      <c r="K151" s="117">
        <v>7.7499999999999999E-2</v>
      </c>
      <c r="L151" s="85">
        <v>0.9</v>
      </c>
      <c r="M151" s="83">
        <v>9</v>
      </c>
      <c r="N151" s="85">
        <v>12</v>
      </c>
      <c r="O151" s="83">
        <f t="shared" si="40"/>
        <v>366187.5</v>
      </c>
      <c r="P151" s="83">
        <f t="shared" si="41"/>
        <v>4246592.4612882333</v>
      </c>
      <c r="Q151" s="83">
        <f t="shared" si="42"/>
        <v>222149.86813114071</v>
      </c>
      <c r="R151" s="83">
        <f t="shared" si="43"/>
        <v>144037.63186885929</v>
      </c>
      <c r="S151" s="84">
        <v>0.606656065898319</v>
      </c>
      <c r="T151" s="118">
        <v>5900000</v>
      </c>
      <c r="U151" s="94">
        <v>342937.5</v>
      </c>
      <c r="V151" s="83">
        <f t="shared" si="38"/>
        <v>-1653407.5387117667</v>
      </c>
      <c r="W151" s="83">
        <f t="shared" si="38"/>
        <v>-120787.63186885929</v>
      </c>
      <c r="X151" s="86">
        <f t="shared" si="39"/>
        <v>-1653407.5387117667</v>
      </c>
      <c r="Y151" s="86">
        <f t="shared" si="39"/>
        <v>-120787.63186885929</v>
      </c>
      <c r="Z151" s="86"/>
      <c r="AA151" s="86"/>
      <c r="AB151" s="86">
        <f t="shared" si="44"/>
        <v>-120787.63186885929</v>
      </c>
      <c r="AC151" s="87">
        <v>-3440095.4069151278</v>
      </c>
      <c r="AD151" s="87">
        <f t="shared" si="31"/>
        <v>-2308963.0942673222</v>
      </c>
      <c r="AE151" s="87"/>
      <c r="AF151" s="88"/>
      <c r="AG151" s="88"/>
      <c r="AH151" s="88"/>
      <c r="AI151" s="88"/>
      <c r="AJ151" s="88"/>
      <c r="AK151" s="130">
        <f t="shared" si="35"/>
        <v>-120787.63186885929</v>
      </c>
      <c r="AL151" s="130"/>
      <c r="AM151" s="130"/>
      <c r="AN151" s="130"/>
      <c r="AO151" s="130">
        <f t="shared" si="33"/>
        <v>-120787.63186885929</v>
      </c>
      <c r="AP151" s="89">
        <f t="shared" si="32"/>
        <v>-2597583.4810507372</v>
      </c>
      <c r="AQ151" s="182"/>
      <c r="AR151" s="182"/>
      <c r="AS151" s="183"/>
      <c r="AT151" s="183"/>
      <c r="AU151" s="183"/>
      <c r="AV151" s="183"/>
      <c r="AW151" s="186">
        <f t="shared" si="36"/>
        <v>-2597583.4810507372</v>
      </c>
      <c r="AX151" s="223">
        <f t="shared" si="34"/>
        <v>-3463444.6414009836</v>
      </c>
      <c r="AY151" s="221"/>
      <c r="AZ151" s="221"/>
      <c r="BA151" s="221"/>
    </row>
    <row r="152" spans="1:53" s="222" customFormat="1" ht="25.5">
      <c r="A152" s="77">
        <f t="shared" si="37"/>
        <v>143</v>
      </c>
      <c r="B152" s="78" t="s">
        <v>277</v>
      </c>
      <c r="C152" s="79" t="s">
        <v>278</v>
      </c>
      <c r="D152" s="78" t="s">
        <v>97</v>
      </c>
      <c r="E152" s="80" t="s">
        <v>58</v>
      </c>
      <c r="F152" s="78"/>
      <c r="G152" s="78"/>
      <c r="H152" s="81">
        <v>43525</v>
      </c>
      <c r="I152" s="81">
        <v>43525</v>
      </c>
      <c r="J152" s="82">
        <v>3000000</v>
      </c>
      <c r="K152" s="117">
        <v>7.7499999999999999E-2</v>
      </c>
      <c r="L152" s="85">
        <v>0.9</v>
      </c>
      <c r="M152" s="83">
        <v>9</v>
      </c>
      <c r="N152" s="85">
        <v>12</v>
      </c>
      <c r="O152" s="83">
        <f t="shared" si="40"/>
        <v>156937.5</v>
      </c>
      <c r="P152" s="83">
        <f t="shared" si="41"/>
        <v>1819968.197694957</v>
      </c>
      <c r="Q152" s="83">
        <f t="shared" si="42"/>
        <v>95207.086341917442</v>
      </c>
      <c r="R152" s="83">
        <f t="shared" si="43"/>
        <v>61730.413658082558</v>
      </c>
      <c r="S152" s="84">
        <v>0.606656065898319</v>
      </c>
      <c r="T152" s="118">
        <v>3000000</v>
      </c>
      <c r="U152" s="94">
        <v>174375</v>
      </c>
      <c r="V152" s="83">
        <f t="shared" si="38"/>
        <v>-1180031.802305043</v>
      </c>
      <c r="W152" s="83">
        <f t="shared" si="38"/>
        <v>-79167.913658082558</v>
      </c>
      <c r="X152" s="86">
        <f t="shared" si="39"/>
        <v>-1180031.802305043</v>
      </c>
      <c r="Y152" s="86">
        <f t="shared" si="39"/>
        <v>-79167.913658082558</v>
      </c>
      <c r="Z152" s="86"/>
      <c r="AA152" s="86"/>
      <c r="AB152" s="86">
        <f t="shared" si="44"/>
        <v>-79167.913658082558</v>
      </c>
      <c r="AC152" s="87">
        <v>0</v>
      </c>
      <c r="AD152" s="87">
        <f t="shared" si="31"/>
        <v>-1513365.1356383762</v>
      </c>
      <c r="AE152" s="87"/>
      <c r="AF152" s="88"/>
      <c r="AG152" s="88"/>
      <c r="AH152" s="88"/>
      <c r="AI152" s="88"/>
      <c r="AJ152" s="88"/>
      <c r="AK152" s="130">
        <f t="shared" si="35"/>
        <v>-79167.913658082558</v>
      </c>
      <c r="AL152" s="130"/>
      <c r="AM152" s="130"/>
      <c r="AN152" s="130"/>
      <c r="AO152" s="130">
        <f t="shared" si="33"/>
        <v>-79167.913658082558</v>
      </c>
      <c r="AP152" s="89">
        <f t="shared" si="32"/>
        <v>-1702535.7775931736</v>
      </c>
      <c r="AQ152" s="182"/>
      <c r="AR152" s="182"/>
      <c r="AS152" s="183"/>
      <c r="AT152" s="183"/>
      <c r="AU152" s="183"/>
      <c r="AV152" s="183"/>
      <c r="AW152" s="186">
        <f t="shared" si="36"/>
        <v>-1702535.7775931736</v>
      </c>
      <c r="AX152" s="223">
        <f t="shared" si="34"/>
        <v>-2270047.7034575646</v>
      </c>
      <c r="AY152" s="221"/>
      <c r="AZ152" s="221"/>
      <c r="BA152" s="221"/>
    </row>
    <row r="153" spans="1:53" s="222" customFormat="1" ht="25.5">
      <c r="A153" s="77">
        <f t="shared" si="37"/>
        <v>144</v>
      </c>
      <c r="B153" s="78" t="s">
        <v>279</v>
      </c>
      <c r="C153" s="79" t="s">
        <v>280</v>
      </c>
      <c r="D153" s="78" t="s">
        <v>97</v>
      </c>
      <c r="E153" s="80" t="s">
        <v>85</v>
      </c>
      <c r="F153" s="78"/>
      <c r="G153" s="78"/>
      <c r="H153" s="81">
        <v>43497</v>
      </c>
      <c r="I153" s="81">
        <v>43497</v>
      </c>
      <c r="J153" s="82">
        <v>10000000</v>
      </c>
      <c r="K153" s="117">
        <v>7.7499999999999999E-2</v>
      </c>
      <c r="L153" s="85">
        <v>0.9</v>
      </c>
      <c r="M153" s="83">
        <v>10</v>
      </c>
      <c r="N153" s="85">
        <v>12</v>
      </c>
      <c r="O153" s="83">
        <f t="shared" si="40"/>
        <v>581250</v>
      </c>
      <c r="P153" s="83">
        <f t="shared" si="41"/>
        <v>6066560.6589831896</v>
      </c>
      <c r="Q153" s="83">
        <f t="shared" si="42"/>
        <v>352618.83830339788</v>
      </c>
      <c r="R153" s="83">
        <f t="shared" si="43"/>
        <v>228631.16169660212</v>
      </c>
      <c r="S153" s="84">
        <v>0.606656065898319</v>
      </c>
      <c r="T153" s="118">
        <v>15000000</v>
      </c>
      <c r="U153" s="94">
        <v>871875</v>
      </c>
      <c r="V153" s="83">
        <f t="shared" si="38"/>
        <v>-8933439.3410168104</v>
      </c>
      <c r="W153" s="83">
        <f t="shared" si="38"/>
        <v>-519256.16169660212</v>
      </c>
      <c r="X153" s="86">
        <f t="shared" si="39"/>
        <v>-8933439.3410168104</v>
      </c>
      <c r="Y153" s="86">
        <f t="shared" si="39"/>
        <v>-519256.16169660212</v>
      </c>
      <c r="Z153" s="86"/>
      <c r="AA153" s="86"/>
      <c r="AB153" s="86">
        <f t="shared" si="44"/>
        <v>-519256.16169660212</v>
      </c>
      <c r="AC153" s="87">
        <v>-8933439.3410168104</v>
      </c>
      <c r="AD153" s="87">
        <f t="shared" si="31"/>
        <v>-9926043.712240899</v>
      </c>
      <c r="AE153" s="87"/>
      <c r="AF153" s="88"/>
      <c r="AG153" s="88"/>
      <c r="AH153" s="88"/>
      <c r="AI153" s="88"/>
      <c r="AJ153" s="88"/>
      <c r="AK153" s="130">
        <f t="shared" si="35"/>
        <v>-519256.16169660212</v>
      </c>
      <c r="AL153" s="130"/>
      <c r="AM153" s="130"/>
      <c r="AN153" s="130"/>
      <c r="AO153" s="130">
        <f t="shared" si="33"/>
        <v>-519256.16169660212</v>
      </c>
      <c r="AP153" s="89">
        <f t="shared" si="32"/>
        <v>-11166799.176271012</v>
      </c>
      <c r="AQ153" s="182"/>
      <c r="AR153" s="182"/>
      <c r="AS153" s="183"/>
      <c r="AT153" s="183"/>
      <c r="AU153" s="183"/>
      <c r="AV153" s="183"/>
      <c r="AW153" s="186">
        <f t="shared" si="36"/>
        <v>-11166799.176271012</v>
      </c>
      <c r="AX153" s="223">
        <f t="shared" si="34"/>
        <v>-14889065.568361349</v>
      </c>
      <c r="AY153" s="221"/>
      <c r="AZ153" s="221"/>
      <c r="BA153" s="221"/>
    </row>
    <row r="154" spans="1:53" s="222" customFormat="1" ht="25.5">
      <c r="A154" s="77">
        <f t="shared" si="37"/>
        <v>145</v>
      </c>
      <c r="B154" s="78" t="s">
        <v>281</v>
      </c>
      <c r="C154" s="79" t="s">
        <v>282</v>
      </c>
      <c r="D154" s="78" t="s">
        <v>105</v>
      </c>
      <c r="E154" s="80" t="s">
        <v>85</v>
      </c>
      <c r="F154" s="78"/>
      <c r="G154" s="78"/>
      <c r="H154" s="81">
        <v>43525</v>
      </c>
      <c r="I154" s="81">
        <v>43525</v>
      </c>
      <c r="J154" s="82">
        <v>20000000</v>
      </c>
      <c r="K154" s="117">
        <v>7.7499999999999999E-2</v>
      </c>
      <c r="L154" s="85">
        <v>0.9</v>
      </c>
      <c r="M154" s="83">
        <v>9</v>
      </c>
      <c r="N154" s="85">
        <v>12</v>
      </c>
      <c r="O154" s="83">
        <f t="shared" si="40"/>
        <v>1046250</v>
      </c>
      <c r="P154" s="83">
        <f t="shared" si="41"/>
        <v>12133121.317966379</v>
      </c>
      <c r="Q154" s="83">
        <f t="shared" si="42"/>
        <v>634713.90894611622</v>
      </c>
      <c r="R154" s="83">
        <f t="shared" si="43"/>
        <v>411536.09105388378</v>
      </c>
      <c r="S154" s="84">
        <v>0.606656065898319</v>
      </c>
      <c r="T154" s="83"/>
      <c r="U154" s="85"/>
      <c r="V154" s="83">
        <f t="shared" si="38"/>
        <v>12133121.317966379</v>
      </c>
      <c r="W154" s="83">
        <f t="shared" si="38"/>
        <v>634713.90894611622</v>
      </c>
      <c r="X154" s="86">
        <f t="shared" si="39"/>
        <v>12133121.317966379</v>
      </c>
      <c r="Y154" s="86">
        <f t="shared" si="39"/>
        <v>634713.90894611622</v>
      </c>
      <c r="Z154" s="86">
        <f>1586231.25-Z155</f>
        <v>634713.91</v>
      </c>
      <c r="AA154" s="86"/>
      <c r="AB154" s="86">
        <f t="shared" si="44"/>
        <v>-1.0538838105276227E-3</v>
      </c>
      <c r="AC154" s="87">
        <v>9522.9654243513942</v>
      </c>
      <c r="AD154" s="87">
        <f t="shared" si="31"/>
        <v>-2.0145927082965309E-2</v>
      </c>
      <c r="AE154" s="87"/>
      <c r="AF154" s="88"/>
      <c r="AG154" s="88"/>
      <c r="AH154" s="88"/>
      <c r="AI154" s="88"/>
      <c r="AJ154" s="88"/>
      <c r="AK154" s="130">
        <f t="shared" si="35"/>
        <v>-1.0538838105276227E-3</v>
      </c>
      <c r="AL154" s="130"/>
      <c r="AM154" s="130"/>
      <c r="AN154" s="130"/>
      <c r="AO154" s="130">
        <f t="shared" si="33"/>
        <v>-1.0538838105276227E-3</v>
      </c>
      <c r="AP154" s="89">
        <f t="shared" si="32"/>
        <v>-2.2664167968335973E-2</v>
      </c>
      <c r="AQ154" s="182"/>
      <c r="AR154" s="182"/>
      <c r="AS154" s="183"/>
      <c r="AT154" s="183"/>
      <c r="AU154" s="183"/>
      <c r="AV154" s="183"/>
      <c r="AW154" s="186">
        <f t="shared" si="36"/>
        <v>-2.2664167968335973E-2</v>
      </c>
      <c r="AX154" s="186">
        <f t="shared" si="34"/>
        <v>-3.0218890624447964E-2</v>
      </c>
      <c r="AY154" s="221"/>
      <c r="AZ154" s="221"/>
      <c r="BA154" s="221"/>
    </row>
    <row r="155" spans="1:53" s="222" customFormat="1" ht="25.5">
      <c r="A155" s="77">
        <f t="shared" si="37"/>
        <v>146</v>
      </c>
      <c r="B155" s="78" t="s">
        <v>281</v>
      </c>
      <c r="C155" s="79" t="s">
        <v>282</v>
      </c>
      <c r="D155" s="78" t="s">
        <v>57</v>
      </c>
      <c r="E155" s="80" t="s">
        <v>85</v>
      </c>
      <c r="F155" s="78"/>
      <c r="G155" s="78"/>
      <c r="H155" s="81">
        <v>43525</v>
      </c>
      <c r="I155" s="81">
        <v>43525</v>
      </c>
      <c r="J155" s="82">
        <v>30000000</v>
      </c>
      <c r="K155" s="117">
        <v>7.7499999999999999E-2</v>
      </c>
      <c r="L155" s="85">
        <v>0.9</v>
      </c>
      <c r="M155" s="83">
        <v>9</v>
      </c>
      <c r="N155" s="85">
        <v>12</v>
      </c>
      <c r="O155" s="83">
        <f t="shared" si="40"/>
        <v>1569375</v>
      </c>
      <c r="P155" s="83">
        <f t="shared" si="41"/>
        <v>18199681.976949569</v>
      </c>
      <c r="Q155" s="83">
        <f t="shared" si="42"/>
        <v>952070.86341917433</v>
      </c>
      <c r="R155" s="83">
        <f t="shared" si="43"/>
        <v>617304.13658082567</v>
      </c>
      <c r="S155" s="84">
        <v>0.606656065898319</v>
      </c>
      <c r="T155" s="83"/>
      <c r="U155" s="85"/>
      <c r="V155" s="83">
        <f t="shared" si="38"/>
        <v>18199681.976949569</v>
      </c>
      <c r="W155" s="83">
        <f t="shared" si="38"/>
        <v>952070.86341917433</v>
      </c>
      <c r="X155" s="86">
        <f t="shared" si="39"/>
        <v>18199681.976949569</v>
      </c>
      <c r="Y155" s="86">
        <f t="shared" si="39"/>
        <v>952070.86341917433</v>
      </c>
      <c r="Z155" s="86">
        <v>951517.34</v>
      </c>
      <c r="AA155" s="86"/>
      <c r="AB155" s="86">
        <f t="shared" si="44"/>
        <v>553.5234191743657</v>
      </c>
      <c r="AC155" s="87">
        <v>0</v>
      </c>
      <c r="AD155" s="87">
        <f t="shared" si="31"/>
        <v>10581.092839653345</v>
      </c>
      <c r="AE155" s="87"/>
      <c r="AF155" s="88"/>
      <c r="AG155" s="88"/>
      <c r="AH155" s="88"/>
      <c r="AI155" s="88"/>
      <c r="AJ155" s="88"/>
      <c r="AK155" s="130">
        <f t="shared" si="35"/>
        <v>553.5234191743657</v>
      </c>
      <c r="AL155" s="130"/>
      <c r="AM155" s="130"/>
      <c r="AN155" s="130"/>
      <c r="AO155" s="130">
        <f t="shared" si="33"/>
        <v>553.5234191743657</v>
      </c>
      <c r="AP155" s="119">
        <f t="shared" si="32"/>
        <v>11903.729444610015</v>
      </c>
      <c r="AQ155" s="182"/>
      <c r="AR155" s="182"/>
      <c r="AS155" s="183"/>
      <c r="AT155" s="183"/>
      <c r="AU155" s="183"/>
      <c r="AV155" s="183"/>
      <c r="AW155" s="186">
        <f t="shared" si="36"/>
        <v>11903.729444610015</v>
      </c>
      <c r="AX155" s="186">
        <f t="shared" si="34"/>
        <v>15871.63925948002</v>
      </c>
      <c r="AY155" s="221"/>
      <c r="AZ155" s="221"/>
      <c r="BA155" s="221"/>
    </row>
    <row r="156" spans="1:53" s="222" customFormat="1" ht="25.5">
      <c r="A156" s="77">
        <f t="shared" si="37"/>
        <v>147</v>
      </c>
      <c r="B156" s="78" t="s">
        <v>283</v>
      </c>
      <c r="C156" s="79" t="s">
        <v>284</v>
      </c>
      <c r="D156" s="78" t="s">
        <v>57</v>
      </c>
      <c r="E156" s="80" t="s">
        <v>85</v>
      </c>
      <c r="F156" s="78"/>
      <c r="G156" s="78"/>
      <c r="H156" s="81">
        <v>43525</v>
      </c>
      <c r="I156" s="81">
        <v>43525</v>
      </c>
      <c r="J156" s="82">
        <v>12000000</v>
      </c>
      <c r="K156" s="117">
        <v>7.7499999999999999E-2</v>
      </c>
      <c r="L156" s="85">
        <v>0.9</v>
      </c>
      <c r="M156" s="83">
        <v>9</v>
      </c>
      <c r="N156" s="85">
        <v>12</v>
      </c>
      <c r="O156" s="83">
        <f t="shared" si="40"/>
        <v>627750</v>
      </c>
      <c r="P156" s="83">
        <f t="shared" si="41"/>
        <v>7279872.7907798281</v>
      </c>
      <c r="Q156" s="83">
        <f t="shared" si="42"/>
        <v>380828.34536766977</v>
      </c>
      <c r="R156" s="83">
        <f t="shared" si="43"/>
        <v>246921.65463233023</v>
      </c>
      <c r="S156" s="84">
        <v>0.606656065898319</v>
      </c>
      <c r="T156" s="83"/>
      <c r="U156" s="85"/>
      <c r="V156" s="83">
        <f t="shared" si="38"/>
        <v>7279872.7907798281</v>
      </c>
      <c r="W156" s="83">
        <f t="shared" si="38"/>
        <v>380828.34536766977</v>
      </c>
      <c r="X156" s="86">
        <f t="shared" si="39"/>
        <v>7279872.7907798281</v>
      </c>
      <c r="Y156" s="86">
        <f t="shared" si="39"/>
        <v>380828.34536766977</v>
      </c>
      <c r="Z156" s="86"/>
      <c r="AA156" s="86">
        <f>901664.06-AA157</f>
        <v>380828.35000000003</v>
      </c>
      <c r="AB156" s="86">
        <f t="shared" si="44"/>
        <v>-4.6323302667587996E-3</v>
      </c>
      <c r="AC156" s="87">
        <v>-3620286.2207453903</v>
      </c>
      <c r="AD156" s="87">
        <f t="shared" si="31"/>
        <v>-8.8551116210443009E-2</v>
      </c>
      <c r="AE156" s="87"/>
      <c r="AF156" s="88"/>
      <c r="AG156" s="88"/>
      <c r="AH156" s="88"/>
      <c r="AI156" s="88"/>
      <c r="AJ156" s="88"/>
      <c r="AK156" s="130">
        <f t="shared" si="35"/>
        <v>-4.6323302667587996E-3</v>
      </c>
      <c r="AL156" s="130"/>
      <c r="AM156" s="130"/>
      <c r="AN156" s="130"/>
      <c r="AO156" s="130">
        <f t="shared" si="33"/>
        <v>-4.6323302667587996E-3</v>
      </c>
      <c r="AP156" s="89">
        <f t="shared" si="32"/>
        <v>-9.9620005736748368E-2</v>
      </c>
      <c r="AQ156" s="182"/>
      <c r="AR156" s="182"/>
      <c r="AS156" s="183"/>
      <c r="AT156" s="183"/>
      <c r="AU156" s="183"/>
      <c r="AV156" s="183"/>
      <c r="AW156" s="186">
        <f t="shared" si="36"/>
        <v>-9.9620005736748368E-2</v>
      </c>
      <c r="AX156" s="223">
        <f t="shared" si="34"/>
        <v>-0.1328266743156645</v>
      </c>
      <c r="AY156" s="221"/>
      <c r="AZ156" s="221"/>
      <c r="BA156" s="221"/>
    </row>
    <row r="157" spans="1:53">
      <c r="A157" s="151">
        <f t="shared" si="37"/>
        <v>148</v>
      </c>
      <c r="B157" s="152" t="s">
        <v>283</v>
      </c>
      <c r="C157" s="153" t="s">
        <v>284</v>
      </c>
      <c r="D157" s="169" t="s">
        <v>285</v>
      </c>
      <c r="E157" s="152" t="s">
        <v>85</v>
      </c>
      <c r="F157" s="152"/>
      <c r="G157" s="152"/>
      <c r="H157" s="154">
        <v>43525</v>
      </c>
      <c r="I157" s="154" t="s">
        <v>102</v>
      </c>
      <c r="J157" s="155">
        <v>18000000</v>
      </c>
      <c r="K157" s="156">
        <v>7.7499999999999999E-2</v>
      </c>
      <c r="L157" s="157">
        <v>0.9</v>
      </c>
      <c r="M157" s="158">
        <v>9</v>
      </c>
      <c r="N157" s="157">
        <v>12</v>
      </c>
      <c r="O157" s="158">
        <f t="shared" si="40"/>
        <v>941625</v>
      </c>
      <c r="P157" s="158">
        <f t="shared" si="41"/>
        <v>10919809.186169742</v>
      </c>
      <c r="Q157" s="158">
        <f t="shared" si="42"/>
        <v>571242.51805150451</v>
      </c>
      <c r="R157" s="158">
        <f t="shared" si="43"/>
        <v>370382.48194849549</v>
      </c>
      <c r="S157" s="159">
        <v>0.606656065898319</v>
      </c>
      <c r="T157" s="158"/>
      <c r="U157" s="157"/>
      <c r="V157" s="158">
        <f t="shared" si="38"/>
        <v>10919809.186169742</v>
      </c>
      <c r="W157" s="158">
        <f t="shared" si="38"/>
        <v>571242.51805150451</v>
      </c>
      <c r="X157" s="160">
        <f t="shared" si="39"/>
        <v>10919809.186169742</v>
      </c>
      <c r="Y157" s="160">
        <f t="shared" si="39"/>
        <v>571242.51805150451</v>
      </c>
      <c r="Z157" s="160"/>
      <c r="AA157" s="160">
        <v>520835.71</v>
      </c>
      <c r="AB157" s="184">
        <f t="shared" si="44"/>
        <v>50406.808051504486</v>
      </c>
      <c r="AC157" s="162">
        <v>0</v>
      </c>
      <c r="AD157" s="162">
        <f t="shared" si="31"/>
        <v>963571.00217929739</v>
      </c>
      <c r="AE157" s="162"/>
      <c r="AF157" s="163"/>
      <c r="AG157" s="163"/>
      <c r="AH157" s="68"/>
      <c r="AI157" s="68"/>
      <c r="AJ157" s="69"/>
      <c r="AK157" s="67">
        <f t="shared" si="35"/>
        <v>50406.808051504486</v>
      </c>
      <c r="AL157" s="67"/>
      <c r="AM157" s="67"/>
      <c r="AN157" s="67"/>
      <c r="AO157" s="67">
        <f t="shared" si="33"/>
        <v>50406.808051504486</v>
      </c>
      <c r="AP157" s="164">
        <f t="shared" si="32"/>
        <v>1084017.3774517095</v>
      </c>
      <c r="AQ157" s="164"/>
      <c r="AR157" s="164"/>
      <c r="AS157" s="165"/>
      <c r="AT157" s="72"/>
      <c r="AU157" s="72"/>
      <c r="AV157" s="73"/>
      <c r="AW157" s="74">
        <f t="shared" si="36"/>
        <v>1084017.3774517095</v>
      </c>
      <c r="AX157" s="74">
        <f t="shared" si="34"/>
        <v>1445356.503268946</v>
      </c>
      <c r="AY157" s="150"/>
      <c r="AZ157" s="150"/>
      <c r="BA157" s="150"/>
    </row>
    <row r="158" spans="1:53">
      <c r="A158" s="151">
        <f t="shared" si="37"/>
        <v>149</v>
      </c>
      <c r="B158" s="152" t="s">
        <v>286</v>
      </c>
      <c r="C158" s="153" t="s">
        <v>287</v>
      </c>
      <c r="D158" s="169" t="s">
        <v>285</v>
      </c>
      <c r="E158" s="152" t="s">
        <v>85</v>
      </c>
      <c r="F158" s="152"/>
      <c r="G158" s="152"/>
      <c r="H158" s="154">
        <v>43525</v>
      </c>
      <c r="I158" s="59" t="s">
        <v>81</v>
      </c>
      <c r="J158" s="155">
        <v>40000000</v>
      </c>
      <c r="K158" s="156">
        <v>7.7499999999999999E-2</v>
      </c>
      <c r="L158" s="157">
        <v>0.9</v>
      </c>
      <c r="M158" s="158">
        <v>9</v>
      </c>
      <c r="N158" s="157">
        <v>12</v>
      </c>
      <c r="O158" s="158">
        <f t="shared" si="40"/>
        <v>2092500</v>
      </c>
      <c r="P158" s="158">
        <f t="shared" si="41"/>
        <v>24266242.635932758</v>
      </c>
      <c r="Q158" s="158">
        <f t="shared" si="42"/>
        <v>1269427.8178922324</v>
      </c>
      <c r="R158" s="158">
        <f t="shared" si="43"/>
        <v>823072.18210776756</v>
      </c>
      <c r="S158" s="159">
        <v>0.606656065898319</v>
      </c>
      <c r="T158" s="158"/>
      <c r="U158" s="157"/>
      <c r="V158" s="158">
        <f t="shared" si="38"/>
        <v>24266242.635932758</v>
      </c>
      <c r="W158" s="158">
        <f t="shared" si="38"/>
        <v>1269427.8178922324</v>
      </c>
      <c r="X158" s="160">
        <f t="shared" si="39"/>
        <v>24266242.635932758</v>
      </c>
      <c r="Y158" s="160">
        <f t="shared" si="39"/>
        <v>1269427.8178922324</v>
      </c>
      <c r="Z158" s="160">
        <f>348749.99+813749.99</f>
        <v>1162499.98</v>
      </c>
      <c r="AA158" s="160"/>
      <c r="AB158" s="160">
        <f t="shared" si="44"/>
        <v>106927.83789223246</v>
      </c>
      <c r="AC158" s="162">
        <v>23679236.744678959</v>
      </c>
      <c r="AD158" s="162">
        <f t="shared" si="31"/>
        <v>2044020.7960283388</v>
      </c>
      <c r="AE158" s="162"/>
      <c r="AF158" s="163"/>
      <c r="AG158" s="163"/>
      <c r="AH158" s="68"/>
      <c r="AI158" s="68"/>
      <c r="AJ158" s="69"/>
      <c r="AK158" s="67">
        <f t="shared" si="35"/>
        <v>106927.83789223246</v>
      </c>
      <c r="AL158" s="67"/>
      <c r="AM158" s="67"/>
      <c r="AN158" s="67"/>
      <c r="AO158" s="67">
        <f t="shared" si="33"/>
        <v>106927.83789223246</v>
      </c>
      <c r="AP158" s="164">
        <f t="shared" si="32"/>
        <v>2299523.3955318811</v>
      </c>
      <c r="AQ158" s="164"/>
      <c r="AR158" s="164"/>
      <c r="AS158" s="165"/>
      <c r="AT158" s="72"/>
      <c r="AU158" s="72"/>
      <c r="AV158" s="73"/>
      <c r="AW158" s="74">
        <f t="shared" si="36"/>
        <v>2299523.3955318811</v>
      </c>
      <c r="AX158" s="74">
        <f t="shared" si="34"/>
        <v>3066031.194042508</v>
      </c>
      <c r="AY158" s="150"/>
      <c r="AZ158" s="150"/>
      <c r="BA158" s="150"/>
    </row>
    <row r="159" spans="1:53" ht="25.5">
      <c r="A159" s="151">
        <f t="shared" si="37"/>
        <v>150</v>
      </c>
      <c r="B159" s="152" t="s">
        <v>286</v>
      </c>
      <c r="C159" s="153" t="s">
        <v>287</v>
      </c>
      <c r="D159" s="152" t="s">
        <v>57</v>
      </c>
      <c r="E159" s="152" t="s">
        <v>85</v>
      </c>
      <c r="F159" s="152"/>
      <c r="G159" s="152"/>
      <c r="H159" s="154">
        <v>43525</v>
      </c>
      <c r="I159" s="59" t="s">
        <v>81</v>
      </c>
      <c r="J159" s="155">
        <v>40000000</v>
      </c>
      <c r="K159" s="156">
        <v>7.7499999999999999E-2</v>
      </c>
      <c r="L159" s="157">
        <v>0.9</v>
      </c>
      <c r="M159" s="158">
        <v>9</v>
      </c>
      <c r="N159" s="157">
        <v>12</v>
      </c>
      <c r="O159" s="158">
        <f t="shared" si="40"/>
        <v>2092500</v>
      </c>
      <c r="P159" s="158">
        <f t="shared" si="41"/>
        <v>24266242.635932758</v>
      </c>
      <c r="Q159" s="158">
        <f t="shared" si="42"/>
        <v>1269427.8178922324</v>
      </c>
      <c r="R159" s="158">
        <f t="shared" si="43"/>
        <v>823072.18210776756</v>
      </c>
      <c r="S159" s="159">
        <v>0.606656065898319</v>
      </c>
      <c r="T159" s="158"/>
      <c r="U159" s="157"/>
      <c r="V159" s="158">
        <f t="shared" si="38"/>
        <v>24266242.635932758</v>
      </c>
      <c r="W159" s="158">
        <f t="shared" si="38"/>
        <v>1269427.8178922324</v>
      </c>
      <c r="X159" s="160">
        <f t="shared" si="39"/>
        <v>24266242.635932758</v>
      </c>
      <c r="Y159" s="160">
        <f t="shared" si="39"/>
        <v>1269427.8178922324</v>
      </c>
      <c r="Z159" s="160"/>
      <c r="AA159" s="160"/>
      <c r="AB159" s="160">
        <f t="shared" si="44"/>
        <v>1269427.8178922324</v>
      </c>
      <c r="AC159" s="162">
        <v>0</v>
      </c>
      <c r="AD159" s="162">
        <f t="shared" si="31"/>
        <v>24266242.635932758</v>
      </c>
      <c r="AE159" s="162"/>
      <c r="AF159" s="163"/>
      <c r="AG159" s="163"/>
      <c r="AH159" s="68"/>
      <c r="AI159" s="68"/>
      <c r="AJ159" s="69"/>
      <c r="AK159" s="67">
        <f t="shared" si="35"/>
        <v>1269427.8178922324</v>
      </c>
      <c r="AL159" s="67"/>
      <c r="AM159" s="67"/>
      <c r="AN159" s="67"/>
      <c r="AO159" s="67">
        <f t="shared" si="33"/>
        <v>1269427.8178922324</v>
      </c>
      <c r="AP159" s="164">
        <f t="shared" si="32"/>
        <v>27299522.965424351</v>
      </c>
      <c r="AQ159" s="164"/>
      <c r="AR159" s="164"/>
      <c r="AS159" s="165"/>
      <c r="AT159" s="72"/>
      <c r="AU159" s="72"/>
      <c r="AV159" s="73"/>
      <c r="AW159" s="74">
        <f t="shared" si="36"/>
        <v>27299522.965424351</v>
      </c>
      <c r="AX159" s="74">
        <f t="shared" si="34"/>
        <v>36399363.953899138</v>
      </c>
      <c r="AY159" s="150"/>
      <c r="AZ159" s="150"/>
      <c r="BA159" s="150"/>
    </row>
    <row r="160" spans="1:53" s="76" customFormat="1" ht="25.5">
      <c r="A160" s="54">
        <f t="shared" si="37"/>
        <v>151</v>
      </c>
      <c r="B160" s="55" t="s">
        <v>288</v>
      </c>
      <c r="C160" s="56" t="s">
        <v>289</v>
      </c>
      <c r="D160" s="55" t="s">
        <v>57</v>
      </c>
      <c r="E160" s="110" t="s">
        <v>58</v>
      </c>
      <c r="F160" s="55"/>
      <c r="G160" s="55"/>
      <c r="H160" s="58">
        <v>43525</v>
      </c>
      <c r="I160" s="115" t="s">
        <v>130</v>
      </c>
      <c r="J160" s="60">
        <v>12000000</v>
      </c>
      <c r="K160" s="61">
        <v>7.7499999999999999E-2</v>
      </c>
      <c r="L160" s="62">
        <v>0.9</v>
      </c>
      <c r="M160" s="63">
        <v>9</v>
      </c>
      <c r="N160" s="62">
        <v>12</v>
      </c>
      <c r="O160" s="63">
        <f t="shared" si="40"/>
        <v>627750</v>
      </c>
      <c r="P160" s="63">
        <f t="shared" si="41"/>
        <v>7279872.7907798281</v>
      </c>
      <c r="Q160" s="63">
        <f t="shared" si="42"/>
        <v>380828.34536766977</v>
      </c>
      <c r="R160" s="63">
        <f t="shared" si="43"/>
        <v>246921.65463233023</v>
      </c>
      <c r="S160" s="64">
        <v>0.606656065898319</v>
      </c>
      <c r="T160" s="63"/>
      <c r="U160" s="62"/>
      <c r="V160" s="63">
        <f t="shared" si="38"/>
        <v>7279872.7907798281</v>
      </c>
      <c r="W160" s="63">
        <f t="shared" si="38"/>
        <v>380828.34536766977</v>
      </c>
      <c r="X160" s="65">
        <f t="shared" si="39"/>
        <v>7279872.7907798281</v>
      </c>
      <c r="Y160" s="65">
        <f t="shared" si="39"/>
        <v>380828.34536766977</v>
      </c>
      <c r="Z160" s="65">
        <v>380718.75</v>
      </c>
      <c r="AA160" s="65"/>
      <c r="AB160" s="65">
        <f t="shared" si="44"/>
        <v>109.59536766976817</v>
      </c>
      <c r="AC160" s="66">
        <v>1885.5117018455639</v>
      </c>
      <c r="AD160" s="66">
        <f t="shared" si="31"/>
        <v>2095.0130020505267</v>
      </c>
      <c r="AE160" s="66"/>
      <c r="AF160" s="67"/>
      <c r="AG160" s="67"/>
      <c r="AH160" s="68"/>
      <c r="AI160" s="68"/>
      <c r="AJ160" s="69"/>
      <c r="AK160" s="67">
        <f t="shared" si="35"/>
        <v>109.59536766976817</v>
      </c>
      <c r="AL160" s="67"/>
      <c r="AM160" s="67"/>
      <c r="AN160" s="67"/>
      <c r="AO160" s="67">
        <f t="shared" si="33"/>
        <v>109.59536766976817</v>
      </c>
      <c r="AP160" s="70">
        <f t="shared" si="32"/>
        <v>2356.8896273068422</v>
      </c>
      <c r="AQ160" s="70"/>
      <c r="AR160" s="70"/>
      <c r="AS160" s="71"/>
      <c r="AT160" s="72"/>
      <c r="AU160" s="72"/>
      <c r="AV160" s="73"/>
      <c r="AW160" s="74">
        <f t="shared" si="36"/>
        <v>2356.8896273068422</v>
      </c>
      <c r="AX160" s="74">
        <f t="shared" si="34"/>
        <v>3142.5195030757895</v>
      </c>
      <c r="AY160" s="75"/>
      <c r="AZ160" s="75"/>
      <c r="BA160" s="75"/>
    </row>
    <row r="161" spans="1:53" s="76" customFormat="1" ht="25.5">
      <c r="A161" s="54">
        <f t="shared" si="37"/>
        <v>152</v>
      </c>
      <c r="B161" s="55" t="s">
        <v>290</v>
      </c>
      <c r="C161" s="56" t="s">
        <v>291</v>
      </c>
      <c r="D161" s="55" t="s">
        <v>57</v>
      </c>
      <c r="E161" s="55" t="s">
        <v>58</v>
      </c>
      <c r="F161" s="55"/>
      <c r="G161" s="55"/>
      <c r="H161" s="58">
        <v>43525</v>
      </c>
      <c r="I161" s="58" t="s">
        <v>292</v>
      </c>
      <c r="J161" s="60">
        <v>100000000</v>
      </c>
      <c r="K161" s="61">
        <v>7.7499999999999999E-2</v>
      </c>
      <c r="L161" s="62">
        <v>0.9</v>
      </c>
      <c r="M161" s="63">
        <v>9</v>
      </c>
      <c r="N161" s="62">
        <v>12</v>
      </c>
      <c r="O161" s="63">
        <f t="shared" si="40"/>
        <v>5231250</v>
      </c>
      <c r="P161" s="63">
        <f t="shared" si="41"/>
        <v>60665606.589831896</v>
      </c>
      <c r="Q161" s="63">
        <f t="shared" si="42"/>
        <v>3173569.5447305809</v>
      </c>
      <c r="R161" s="63">
        <f t="shared" si="43"/>
        <v>2057680.4552694191</v>
      </c>
      <c r="S161" s="64">
        <v>0.606656065898319</v>
      </c>
      <c r="T161" s="63"/>
      <c r="U161" s="62"/>
      <c r="V161" s="63">
        <f t="shared" si="38"/>
        <v>60665606.589831896</v>
      </c>
      <c r="W161" s="63">
        <f t="shared" si="38"/>
        <v>3173569.5447305809</v>
      </c>
      <c r="X161" s="65">
        <f t="shared" si="39"/>
        <v>60665606.589831896</v>
      </c>
      <c r="Y161" s="65">
        <f t="shared" si="39"/>
        <v>3173569.5447305809</v>
      </c>
      <c r="Z161" s="65"/>
      <c r="AA161" s="65"/>
      <c r="AB161" s="65">
        <f t="shared" si="44"/>
        <v>3173569.5447305809</v>
      </c>
      <c r="AC161" s="66">
        <v>54599045.930848703</v>
      </c>
      <c r="AD161" s="66">
        <f t="shared" si="31"/>
        <v>60665606.589831904</v>
      </c>
      <c r="AE161" s="66"/>
      <c r="AF161" s="67"/>
      <c r="AG161" s="67"/>
      <c r="AH161" s="68"/>
      <c r="AI161" s="68"/>
      <c r="AJ161" s="69"/>
      <c r="AK161" s="67">
        <f t="shared" si="35"/>
        <v>3173569.5447305809</v>
      </c>
      <c r="AL161" s="67"/>
      <c r="AM161" s="67"/>
      <c r="AN161" s="67"/>
      <c r="AO161" s="67">
        <f t="shared" si="33"/>
        <v>3173569.5447305809</v>
      </c>
      <c r="AP161" s="70">
        <f t="shared" si="32"/>
        <v>68248807.413560882</v>
      </c>
      <c r="AQ161" s="70"/>
      <c r="AR161" s="70"/>
      <c r="AS161" s="71"/>
      <c r="AT161" s="72"/>
      <c r="AU161" s="72"/>
      <c r="AV161" s="73"/>
      <c r="AW161" s="74">
        <f t="shared" si="36"/>
        <v>68248807.413560882</v>
      </c>
      <c r="AX161" s="74">
        <f t="shared" si="34"/>
        <v>90998409.884747848</v>
      </c>
      <c r="AY161" s="75"/>
      <c r="AZ161" s="75"/>
      <c r="BA161" s="75"/>
    </row>
    <row r="162" spans="1:53" s="76" customFormat="1" ht="25.5">
      <c r="A162" s="54">
        <f t="shared" si="37"/>
        <v>153</v>
      </c>
      <c r="B162" s="55" t="s">
        <v>293</v>
      </c>
      <c r="C162" s="56" t="s">
        <v>294</v>
      </c>
      <c r="D162" s="55" t="s">
        <v>57</v>
      </c>
      <c r="E162" s="55" t="s">
        <v>58</v>
      </c>
      <c r="F162" s="55"/>
      <c r="G162" s="55"/>
      <c r="H162" s="58">
        <v>43525</v>
      </c>
      <c r="I162" s="58" t="s">
        <v>102</v>
      </c>
      <c r="J162" s="60">
        <v>8000000</v>
      </c>
      <c r="K162" s="61">
        <v>7.7499999999999999E-2</v>
      </c>
      <c r="L162" s="62">
        <v>0.9</v>
      </c>
      <c r="M162" s="63">
        <v>9</v>
      </c>
      <c r="N162" s="62">
        <v>12</v>
      </c>
      <c r="O162" s="63">
        <f t="shared" si="40"/>
        <v>418500</v>
      </c>
      <c r="P162" s="63">
        <f t="shared" si="41"/>
        <v>4853248.5271865521</v>
      </c>
      <c r="Q162" s="63">
        <f t="shared" si="42"/>
        <v>253885.56357844651</v>
      </c>
      <c r="R162" s="63">
        <f t="shared" si="43"/>
        <v>164614.43642155349</v>
      </c>
      <c r="S162" s="64">
        <v>0.606656065898319</v>
      </c>
      <c r="T162" s="63"/>
      <c r="U162" s="62"/>
      <c r="V162" s="63">
        <f t="shared" si="38"/>
        <v>4853248.5271865521</v>
      </c>
      <c r="W162" s="63">
        <f t="shared" si="38"/>
        <v>253885.56357844651</v>
      </c>
      <c r="X162" s="65">
        <f t="shared" si="39"/>
        <v>4853248.5271865521</v>
      </c>
      <c r="Y162" s="65">
        <f t="shared" si="39"/>
        <v>253885.56357844651</v>
      </c>
      <c r="Z162" s="65"/>
      <c r="AA162" s="65"/>
      <c r="AB162" s="65">
        <f t="shared" si="44"/>
        <v>253885.56357844651</v>
      </c>
      <c r="AC162" s="66">
        <v>4367923.674467897</v>
      </c>
      <c r="AD162" s="66">
        <f t="shared" si="31"/>
        <v>4853248.5271865521</v>
      </c>
      <c r="AE162" s="66"/>
      <c r="AF162" s="67"/>
      <c r="AG162" s="67"/>
      <c r="AH162" s="68"/>
      <c r="AI162" s="68"/>
      <c r="AJ162" s="69"/>
      <c r="AK162" s="67">
        <f t="shared" si="35"/>
        <v>253885.56357844651</v>
      </c>
      <c r="AL162" s="67"/>
      <c r="AM162" s="67"/>
      <c r="AN162" s="67"/>
      <c r="AO162" s="67">
        <f t="shared" si="33"/>
        <v>253885.56357844651</v>
      </c>
      <c r="AP162" s="70">
        <f t="shared" si="32"/>
        <v>5459904.5930848708</v>
      </c>
      <c r="AQ162" s="70"/>
      <c r="AR162" s="70"/>
      <c r="AS162" s="71"/>
      <c r="AT162" s="72"/>
      <c r="AU162" s="72"/>
      <c r="AV162" s="73"/>
      <c r="AW162" s="74">
        <f t="shared" si="36"/>
        <v>5459904.5930848708</v>
      </c>
      <c r="AX162" s="74">
        <f t="shared" si="34"/>
        <v>7279872.7907798281</v>
      </c>
      <c r="AY162" s="75"/>
      <c r="AZ162" s="75"/>
      <c r="BA162" s="75"/>
    </row>
    <row r="163" spans="1:53" s="76" customFormat="1" ht="25.5">
      <c r="A163" s="54">
        <f t="shared" si="37"/>
        <v>154</v>
      </c>
      <c r="B163" s="55" t="s">
        <v>295</v>
      </c>
      <c r="C163" s="56" t="s">
        <v>296</v>
      </c>
      <c r="D163" s="55" t="s">
        <v>57</v>
      </c>
      <c r="E163" s="55" t="s">
        <v>58</v>
      </c>
      <c r="F163" s="55"/>
      <c r="G163" s="55"/>
      <c r="H163" s="58">
        <v>43586</v>
      </c>
      <c r="I163" s="58">
        <v>43586</v>
      </c>
      <c r="J163" s="60">
        <v>5000000</v>
      </c>
      <c r="K163" s="61">
        <v>7.7499999999999999E-2</v>
      </c>
      <c r="L163" s="62">
        <v>0.9</v>
      </c>
      <c r="M163" s="63">
        <v>7</v>
      </c>
      <c r="N163" s="62">
        <v>12</v>
      </c>
      <c r="O163" s="63">
        <f t="shared" si="40"/>
        <v>203437.5</v>
      </c>
      <c r="P163" s="63">
        <f t="shared" si="41"/>
        <v>3033280.3294915948</v>
      </c>
      <c r="Q163" s="63">
        <f t="shared" si="42"/>
        <v>123416.59340618925</v>
      </c>
      <c r="R163" s="63">
        <f t="shared" si="43"/>
        <v>80020.906593810752</v>
      </c>
      <c r="S163" s="64">
        <v>0.606656065898319</v>
      </c>
      <c r="T163" s="63"/>
      <c r="U163" s="62"/>
      <c r="V163" s="63">
        <f t="shared" si="38"/>
        <v>3033280.3294915948</v>
      </c>
      <c r="W163" s="63">
        <f t="shared" si="38"/>
        <v>123416.59340618925</v>
      </c>
      <c r="X163" s="65">
        <f t="shared" si="39"/>
        <v>3033280.3294915948</v>
      </c>
      <c r="Y163" s="65">
        <f t="shared" si="39"/>
        <v>123416.59340618925</v>
      </c>
      <c r="Z163" s="65"/>
      <c r="AA163" s="65"/>
      <c r="AB163" s="65">
        <f t="shared" si="44"/>
        <v>123416.59340618925</v>
      </c>
      <c r="AC163" s="66">
        <v>2123296.2306441162</v>
      </c>
      <c r="AD163" s="66">
        <f t="shared" si="31"/>
        <v>2359218.0340490183</v>
      </c>
      <c r="AE163" s="66"/>
      <c r="AF163" s="67"/>
      <c r="AG163" s="67"/>
      <c r="AH163" s="68"/>
      <c r="AI163" s="68"/>
      <c r="AJ163" s="69"/>
      <c r="AK163" s="67">
        <f t="shared" si="35"/>
        <v>123416.59340618925</v>
      </c>
      <c r="AL163" s="67"/>
      <c r="AM163" s="67"/>
      <c r="AN163" s="67"/>
      <c r="AO163" s="67">
        <f t="shared" si="33"/>
        <v>123416.59340618925</v>
      </c>
      <c r="AP163" s="70">
        <f t="shared" si="32"/>
        <v>2654120.2883051452</v>
      </c>
      <c r="AQ163" s="70"/>
      <c r="AR163" s="70"/>
      <c r="AS163" s="71"/>
      <c r="AT163" s="72"/>
      <c r="AU163" s="72"/>
      <c r="AV163" s="73"/>
      <c r="AW163" s="74">
        <f t="shared" si="36"/>
        <v>2654120.2883051452</v>
      </c>
      <c r="AX163" s="74">
        <f t="shared" si="34"/>
        <v>3538827.051073527</v>
      </c>
      <c r="AY163" s="75"/>
      <c r="AZ163" s="75"/>
      <c r="BA163" s="75"/>
    </row>
    <row r="164" spans="1:53" s="76" customFormat="1" ht="25.5">
      <c r="A164" s="54">
        <f t="shared" si="37"/>
        <v>155</v>
      </c>
      <c r="B164" s="55" t="s">
        <v>297</v>
      </c>
      <c r="C164" s="56" t="s">
        <v>298</v>
      </c>
      <c r="D164" s="55" t="s">
        <v>57</v>
      </c>
      <c r="E164" s="55" t="s">
        <v>58</v>
      </c>
      <c r="F164" s="55"/>
      <c r="G164" s="55"/>
      <c r="H164" s="58">
        <v>43770</v>
      </c>
      <c r="I164" s="58">
        <v>43770</v>
      </c>
      <c r="J164" s="60">
        <v>3000000</v>
      </c>
      <c r="K164" s="61">
        <v>7.7499999999999999E-2</v>
      </c>
      <c r="L164" s="62">
        <v>0.9</v>
      </c>
      <c r="M164" s="63">
        <v>1</v>
      </c>
      <c r="N164" s="62">
        <v>12</v>
      </c>
      <c r="O164" s="63">
        <f t="shared" si="40"/>
        <v>17437.5</v>
      </c>
      <c r="P164" s="63">
        <f t="shared" si="41"/>
        <v>1819968.197694957</v>
      </c>
      <c r="Q164" s="63">
        <f t="shared" si="42"/>
        <v>10578.565149101938</v>
      </c>
      <c r="R164" s="63">
        <f t="shared" si="43"/>
        <v>6858.934850898062</v>
      </c>
      <c r="S164" s="64">
        <v>0.606656065898319</v>
      </c>
      <c r="T164" s="63"/>
      <c r="U164" s="62"/>
      <c r="V164" s="63">
        <f t="shared" si="38"/>
        <v>1819968.197694957</v>
      </c>
      <c r="W164" s="63">
        <f t="shared" si="38"/>
        <v>10578.565149101938</v>
      </c>
      <c r="X164" s="65">
        <f t="shared" si="39"/>
        <v>1819968.197694957</v>
      </c>
      <c r="Y164" s="65">
        <f t="shared" si="39"/>
        <v>10578.565149101938</v>
      </c>
      <c r="Z164" s="65"/>
      <c r="AA164" s="65"/>
      <c r="AB164" s="65">
        <f t="shared" si="44"/>
        <v>10578.565149101938</v>
      </c>
      <c r="AC164" s="66">
        <v>181996.81976949569</v>
      </c>
      <c r="AD164" s="66">
        <f t="shared" si="31"/>
        <v>202218.688632773</v>
      </c>
      <c r="AE164" s="66"/>
      <c r="AF164" s="67"/>
      <c r="AG164" s="67"/>
      <c r="AH164" s="68"/>
      <c r="AI164" s="68"/>
      <c r="AJ164" s="69"/>
      <c r="AK164" s="67">
        <f t="shared" si="35"/>
        <v>10578.565149101938</v>
      </c>
      <c r="AL164" s="67"/>
      <c r="AM164" s="67"/>
      <c r="AN164" s="67"/>
      <c r="AO164" s="67">
        <f t="shared" si="33"/>
        <v>10578.565149101938</v>
      </c>
      <c r="AP164" s="70">
        <f t="shared" si="32"/>
        <v>227496.02471186963</v>
      </c>
      <c r="AQ164" s="70"/>
      <c r="AR164" s="70"/>
      <c r="AS164" s="71"/>
      <c r="AT164" s="72"/>
      <c r="AU164" s="72"/>
      <c r="AV164" s="73"/>
      <c r="AW164" s="74">
        <f t="shared" si="36"/>
        <v>227496.02471186963</v>
      </c>
      <c r="AX164" s="74">
        <f t="shared" si="34"/>
        <v>303328.0329491595</v>
      </c>
      <c r="AY164" s="75"/>
      <c r="AZ164" s="75"/>
      <c r="BA164" s="75"/>
    </row>
    <row r="165" spans="1:53" s="222" customFormat="1" ht="25.5">
      <c r="A165" s="77">
        <f t="shared" si="37"/>
        <v>156</v>
      </c>
      <c r="B165" s="78" t="s">
        <v>299</v>
      </c>
      <c r="C165" s="79" t="s">
        <v>300</v>
      </c>
      <c r="D165" s="78" t="s">
        <v>57</v>
      </c>
      <c r="E165" s="80" t="s">
        <v>58</v>
      </c>
      <c r="F165" s="78"/>
      <c r="G165" s="78"/>
      <c r="H165" s="81">
        <v>43586</v>
      </c>
      <c r="I165" s="81">
        <v>43586</v>
      </c>
      <c r="J165" s="82">
        <v>3000000</v>
      </c>
      <c r="K165" s="117">
        <v>7.7499999999999999E-2</v>
      </c>
      <c r="L165" s="85">
        <v>0.9</v>
      </c>
      <c r="M165" s="83">
        <v>7</v>
      </c>
      <c r="N165" s="85">
        <v>12</v>
      </c>
      <c r="O165" s="83">
        <f t="shared" si="40"/>
        <v>122062.5</v>
      </c>
      <c r="P165" s="83">
        <f t="shared" si="41"/>
        <v>1819968.197694957</v>
      </c>
      <c r="Q165" s="83">
        <f t="shared" si="42"/>
        <v>74049.956043713566</v>
      </c>
      <c r="R165" s="83">
        <f t="shared" si="43"/>
        <v>48012.543956286434</v>
      </c>
      <c r="S165" s="84">
        <v>0.606656065898319</v>
      </c>
      <c r="T165" s="118">
        <v>2500000</v>
      </c>
      <c r="U165" s="94">
        <v>145312.5</v>
      </c>
      <c r="V165" s="83">
        <f t="shared" si="38"/>
        <v>-680031.80230504298</v>
      </c>
      <c r="W165" s="83">
        <f t="shared" si="38"/>
        <v>-71262.543956286434</v>
      </c>
      <c r="X165" s="86">
        <f t="shared" si="39"/>
        <v>-680031.80230504298</v>
      </c>
      <c r="Y165" s="86">
        <f t="shared" si="39"/>
        <v>-71262.543956286434</v>
      </c>
      <c r="Z165" s="86"/>
      <c r="AA165" s="86"/>
      <c r="AB165" s="86">
        <f t="shared" si="44"/>
        <v>-71262.543956286434</v>
      </c>
      <c r="AC165" s="87">
        <v>-1226022.2616135301</v>
      </c>
      <c r="AD165" s="87">
        <f t="shared" si="31"/>
        <v>-1362246.9573483667</v>
      </c>
      <c r="AE165" s="87"/>
      <c r="AF165" s="88"/>
      <c r="AG165" s="88"/>
      <c r="AH165" s="88"/>
      <c r="AI165" s="88"/>
      <c r="AJ165" s="88"/>
      <c r="AK165" s="130">
        <f t="shared" si="35"/>
        <v>-71262.543956286434</v>
      </c>
      <c r="AL165" s="130"/>
      <c r="AM165" s="130"/>
      <c r="AN165" s="130"/>
      <c r="AO165" s="130">
        <f t="shared" si="33"/>
        <v>-71262.543956286434</v>
      </c>
      <c r="AP165" s="89">
        <f t="shared" si="32"/>
        <v>-1532527.8270169126</v>
      </c>
      <c r="AQ165" s="182"/>
      <c r="AR165" s="182"/>
      <c r="AS165" s="183"/>
      <c r="AT165" s="183"/>
      <c r="AU165" s="183"/>
      <c r="AV165" s="183"/>
      <c r="AW165" s="186">
        <f t="shared" si="36"/>
        <v>-1532527.8270169126</v>
      </c>
      <c r="AX165" s="223">
        <f t="shared" si="34"/>
        <v>-2043370.4360225501</v>
      </c>
      <c r="AY165" s="221"/>
      <c r="AZ165" s="221"/>
      <c r="BA165" s="221"/>
    </row>
    <row r="166" spans="1:53" s="76" customFormat="1" ht="25.5">
      <c r="A166" s="54">
        <f t="shared" si="37"/>
        <v>157</v>
      </c>
      <c r="B166" s="55" t="s">
        <v>301</v>
      </c>
      <c r="C166" s="56" t="s">
        <v>302</v>
      </c>
      <c r="D166" s="55" t="s">
        <v>57</v>
      </c>
      <c r="E166" s="55" t="s">
        <v>58</v>
      </c>
      <c r="F166" s="55"/>
      <c r="G166" s="55"/>
      <c r="H166" s="58">
        <v>43739</v>
      </c>
      <c r="I166" s="58">
        <v>43739</v>
      </c>
      <c r="J166" s="60">
        <v>10000000</v>
      </c>
      <c r="K166" s="61">
        <v>7.7499999999999999E-2</v>
      </c>
      <c r="L166" s="62">
        <v>0.9</v>
      </c>
      <c r="M166" s="63">
        <v>2</v>
      </c>
      <c r="N166" s="62">
        <v>12</v>
      </c>
      <c r="O166" s="63">
        <f t="shared" si="40"/>
        <v>116250</v>
      </c>
      <c r="P166" s="63">
        <f t="shared" si="41"/>
        <v>6066560.6589831896</v>
      </c>
      <c r="Q166" s="63">
        <f>P166*K166*L166*M166/N166</f>
        <v>70523.767660679572</v>
      </c>
      <c r="R166" s="63">
        <f>O166-Q166</f>
        <v>45726.232339320428</v>
      </c>
      <c r="S166" s="64">
        <v>0.606656065898319</v>
      </c>
      <c r="T166" s="63"/>
      <c r="U166" s="62"/>
      <c r="V166" s="63">
        <f t="shared" si="38"/>
        <v>6066560.6589831896</v>
      </c>
      <c r="W166" s="63">
        <f t="shared" si="38"/>
        <v>70523.767660679572</v>
      </c>
      <c r="X166" s="65">
        <f t="shared" si="39"/>
        <v>6066560.6589831896</v>
      </c>
      <c r="Y166" s="65">
        <f t="shared" si="39"/>
        <v>70523.767660679572</v>
      </c>
      <c r="Z166" s="65"/>
      <c r="AA166" s="65"/>
      <c r="AB166" s="65">
        <f t="shared" si="44"/>
        <v>70523.767660679572</v>
      </c>
      <c r="AC166" s="66">
        <v>1213312.1317966378</v>
      </c>
      <c r="AD166" s="66">
        <f t="shared" si="31"/>
        <v>1348124.5908851533</v>
      </c>
      <c r="AE166" s="66"/>
      <c r="AF166" s="67"/>
      <c r="AG166" s="67"/>
      <c r="AH166" s="68"/>
      <c r="AI166" s="68"/>
      <c r="AJ166" s="69"/>
      <c r="AK166" s="67">
        <f t="shared" si="35"/>
        <v>70523.767660679572</v>
      </c>
      <c r="AL166" s="67"/>
      <c r="AM166" s="67"/>
      <c r="AN166" s="67"/>
      <c r="AO166" s="67">
        <f t="shared" si="33"/>
        <v>70523.767660679572</v>
      </c>
      <c r="AP166" s="70">
        <f t="shared" si="32"/>
        <v>1516640.1647457974</v>
      </c>
      <c r="AQ166" s="70"/>
      <c r="AR166" s="70"/>
      <c r="AS166" s="71"/>
      <c r="AT166" s="72"/>
      <c r="AU166" s="72"/>
      <c r="AV166" s="73"/>
      <c r="AW166" s="74">
        <f t="shared" si="36"/>
        <v>1516640.1647457974</v>
      </c>
      <c r="AX166" s="74">
        <f t="shared" si="34"/>
        <v>2022186.88632773</v>
      </c>
      <c r="AY166" s="75"/>
      <c r="AZ166" s="75"/>
      <c r="BA166" s="75"/>
    </row>
    <row r="167" spans="1:53" s="230" customFormat="1" ht="25.5">
      <c r="A167" s="120">
        <f t="shared" si="37"/>
        <v>158</v>
      </c>
      <c r="B167" s="80" t="s">
        <v>303</v>
      </c>
      <c r="C167" s="121" t="s">
        <v>304</v>
      </c>
      <c r="D167" s="80" t="s">
        <v>57</v>
      </c>
      <c r="E167" s="80" t="s">
        <v>85</v>
      </c>
      <c r="F167" s="80"/>
      <c r="G167" s="80"/>
      <c r="H167" s="122">
        <v>43497</v>
      </c>
      <c r="I167" s="122" t="s">
        <v>81</v>
      </c>
      <c r="J167" s="123">
        <v>5000000</v>
      </c>
      <c r="K167" s="124">
        <v>7.7499999999999999E-2</v>
      </c>
      <c r="L167" s="125">
        <v>0.9</v>
      </c>
      <c r="M167" s="126">
        <v>10</v>
      </c>
      <c r="N167" s="125">
        <v>12</v>
      </c>
      <c r="O167" s="126">
        <f t="shared" si="40"/>
        <v>290625</v>
      </c>
      <c r="P167" s="126">
        <f t="shared" si="41"/>
        <v>3033280.3294915948</v>
      </c>
      <c r="Q167" s="126">
        <f t="shared" si="42"/>
        <v>176309.41915169894</v>
      </c>
      <c r="R167" s="126">
        <f t="shared" si="43"/>
        <v>114315.58084830106</v>
      </c>
      <c r="S167" s="127">
        <v>0.606656065898319</v>
      </c>
      <c r="T167" s="126"/>
      <c r="U167" s="125"/>
      <c r="V167" s="126">
        <f t="shared" si="38"/>
        <v>3033280.3294915948</v>
      </c>
      <c r="W167" s="126">
        <f t="shared" si="38"/>
        <v>176309.41915169894</v>
      </c>
      <c r="X167" s="128">
        <f t="shared" si="39"/>
        <v>3033280.3294915948</v>
      </c>
      <c r="Y167" s="128">
        <f t="shared" si="39"/>
        <v>176309.41915169894</v>
      </c>
      <c r="Z167" s="128"/>
      <c r="AA167" s="128"/>
      <c r="AB167" s="128">
        <f t="shared" si="44"/>
        <v>176309.41915169894</v>
      </c>
      <c r="AC167" s="129">
        <v>5763232.6260340307</v>
      </c>
      <c r="AD167" s="129">
        <f t="shared" si="31"/>
        <v>3370311.4772128826</v>
      </c>
      <c r="AE167" s="129"/>
      <c r="AF167" s="130"/>
      <c r="AG167" s="130"/>
      <c r="AH167" s="130">
        <v>176309.42</v>
      </c>
      <c r="AI167" s="130"/>
      <c r="AJ167" s="130"/>
      <c r="AK167" s="130">
        <f t="shared" si="35"/>
        <v>-8.4830107516609132E-4</v>
      </c>
      <c r="AL167" s="130"/>
      <c r="AM167" s="130"/>
      <c r="AN167" s="130"/>
      <c r="AO167" s="130">
        <f t="shared" si="33"/>
        <v>-8.4830107516609132E-4</v>
      </c>
      <c r="AP167" s="119">
        <f t="shared" si="32"/>
        <v>3791600.411864493</v>
      </c>
      <c r="AQ167" s="119"/>
      <c r="AR167" s="119"/>
      <c r="AS167" s="185"/>
      <c r="AT167" s="119">
        <f>AH167/K167/L167/7*12</f>
        <v>4333257.6344086025</v>
      </c>
      <c r="AU167" s="119"/>
      <c r="AV167" s="119"/>
      <c r="AW167" s="186">
        <f t="shared" si="36"/>
        <v>-541657.22254410945</v>
      </c>
      <c r="AX167" s="223">
        <f t="shared" si="34"/>
        <v>-2.4324045166052796E-2</v>
      </c>
      <c r="AY167" s="229"/>
      <c r="AZ167" s="229"/>
      <c r="BA167" s="229"/>
    </row>
    <row r="168" spans="1:53" s="2" customFormat="1" ht="25.5">
      <c r="A168" s="97">
        <f t="shared" si="37"/>
        <v>159</v>
      </c>
      <c r="B168" s="98" t="s">
        <v>303</v>
      </c>
      <c r="C168" s="109" t="s">
        <v>305</v>
      </c>
      <c r="D168" s="98" t="s">
        <v>105</v>
      </c>
      <c r="E168" s="110" t="s">
        <v>85</v>
      </c>
      <c r="F168" s="98"/>
      <c r="G168" s="98"/>
      <c r="H168" s="100">
        <v>43556</v>
      </c>
      <c r="I168" s="100">
        <v>43556</v>
      </c>
      <c r="J168" s="101">
        <v>5000000</v>
      </c>
      <c r="K168" s="111">
        <v>7.7499999999999999E-2</v>
      </c>
      <c r="L168" s="104">
        <v>0.9</v>
      </c>
      <c r="M168" s="102">
        <v>8</v>
      </c>
      <c r="N168" s="104">
        <v>12</v>
      </c>
      <c r="O168" s="102">
        <f t="shared" si="40"/>
        <v>232500</v>
      </c>
      <c r="P168" s="102">
        <f t="shared" si="41"/>
        <v>3033280.3294915948</v>
      </c>
      <c r="Q168" s="102">
        <f t="shared" si="42"/>
        <v>141047.53532135914</v>
      </c>
      <c r="R168" s="102">
        <f t="shared" si="43"/>
        <v>91452.464678640856</v>
      </c>
      <c r="S168" s="103">
        <v>0.606656065898319</v>
      </c>
      <c r="T168" s="102"/>
      <c r="U168" s="104"/>
      <c r="V168" s="102">
        <f t="shared" si="38"/>
        <v>3033280.3294915948</v>
      </c>
      <c r="W168" s="102">
        <f t="shared" si="38"/>
        <v>141047.53532135914</v>
      </c>
      <c r="X168" s="105">
        <f t="shared" si="39"/>
        <v>3033280.3294915948</v>
      </c>
      <c r="Y168" s="105">
        <f t="shared" si="39"/>
        <v>141047.53532135914</v>
      </c>
      <c r="Z168" s="105"/>
      <c r="AA168" s="105"/>
      <c r="AB168" s="105">
        <f t="shared" si="44"/>
        <v>141047.53532135914</v>
      </c>
      <c r="AC168" s="106">
        <v>0</v>
      </c>
      <c r="AD168" s="106">
        <f t="shared" si="31"/>
        <v>2696249.1817703065</v>
      </c>
      <c r="AE168" s="106"/>
      <c r="AF168" s="68"/>
      <c r="AG168" s="68"/>
      <c r="AH168" s="68">
        <f>203437.5-176309.42</f>
        <v>27128.079999999987</v>
      </c>
      <c r="AI168" s="68"/>
      <c r="AJ168" s="69"/>
      <c r="AK168" s="67">
        <f t="shared" si="35"/>
        <v>113919.45532135916</v>
      </c>
      <c r="AL168" s="67"/>
      <c r="AM168" s="67"/>
      <c r="AN168" s="67"/>
      <c r="AO168" s="67">
        <f t="shared" si="33"/>
        <v>113919.45532135916</v>
      </c>
      <c r="AP168" s="107">
        <f t="shared" si="32"/>
        <v>3033280.3294915948</v>
      </c>
      <c r="AQ168" s="107"/>
      <c r="AR168" s="107"/>
      <c r="AS168" s="72"/>
      <c r="AT168" s="107">
        <f>AH168/K168/L168/7*12</f>
        <v>666742.36559139751</v>
      </c>
      <c r="AU168" s="107"/>
      <c r="AV168" s="113"/>
      <c r="AW168" s="74">
        <f t="shared" si="36"/>
        <v>2366537.9639001973</v>
      </c>
      <c r="AX168" s="74">
        <f t="shared" si="34"/>
        <v>3266507.679465495</v>
      </c>
      <c r="AY168" s="108"/>
      <c r="AZ168" s="108"/>
      <c r="BA168" s="108"/>
    </row>
    <row r="169" spans="1:53" s="2" customFormat="1" ht="25.5">
      <c r="A169" s="97">
        <f t="shared" si="37"/>
        <v>160</v>
      </c>
      <c r="B169" s="98" t="s">
        <v>303</v>
      </c>
      <c r="C169" s="109" t="s">
        <v>306</v>
      </c>
      <c r="D169" s="98" t="s">
        <v>105</v>
      </c>
      <c r="E169" s="110" t="s">
        <v>85</v>
      </c>
      <c r="F169" s="98"/>
      <c r="G169" s="98"/>
      <c r="H169" s="100">
        <v>43770</v>
      </c>
      <c r="I169" s="100">
        <v>43770</v>
      </c>
      <c r="J169" s="101">
        <v>5000000</v>
      </c>
      <c r="K169" s="111">
        <v>7.7499999999999999E-2</v>
      </c>
      <c r="L169" s="104">
        <v>0.9</v>
      </c>
      <c r="M169" s="102">
        <v>1</v>
      </c>
      <c r="N169" s="104">
        <v>12</v>
      </c>
      <c r="O169" s="102">
        <f t="shared" si="40"/>
        <v>29062.5</v>
      </c>
      <c r="P169" s="102">
        <f t="shared" si="41"/>
        <v>3033280.3294915948</v>
      </c>
      <c r="Q169" s="102">
        <f t="shared" si="42"/>
        <v>17630.941915169893</v>
      </c>
      <c r="R169" s="102">
        <f t="shared" si="43"/>
        <v>11431.558084830107</v>
      </c>
      <c r="S169" s="103">
        <v>0.606656065898319</v>
      </c>
      <c r="T169" s="102"/>
      <c r="U169" s="104"/>
      <c r="V169" s="102">
        <f t="shared" si="38"/>
        <v>3033280.3294915948</v>
      </c>
      <c r="W169" s="102">
        <f t="shared" si="38"/>
        <v>17630.941915169893</v>
      </c>
      <c r="X169" s="105">
        <f t="shared" si="39"/>
        <v>3033280.3294915948</v>
      </c>
      <c r="Y169" s="105">
        <f t="shared" si="39"/>
        <v>17630.941915169893</v>
      </c>
      <c r="Z169" s="105"/>
      <c r="AA169" s="105"/>
      <c r="AB169" s="105">
        <f t="shared" si="44"/>
        <v>17630.941915169893</v>
      </c>
      <c r="AC169" s="106">
        <v>0</v>
      </c>
      <c r="AD169" s="106">
        <f t="shared" si="31"/>
        <v>337031.14772128832</v>
      </c>
      <c r="AE169" s="106"/>
      <c r="AF169" s="68"/>
      <c r="AG169" s="68"/>
      <c r="AH169" s="68"/>
      <c r="AI169" s="68"/>
      <c r="AJ169" s="69"/>
      <c r="AK169" s="67">
        <f t="shared" si="35"/>
        <v>17630.941915169893</v>
      </c>
      <c r="AL169" s="67"/>
      <c r="AM169" s="67"/>
      <c r="AN169" s="67"/>
      <c r="AO169" s="67">
        <f t="shared" si="33"/>
        <v>17630.941915169893</v>
      </c>
      <c r="AP169" s="107">
        <f t="shared" si="32"/>
        <v>379160.04118644935</v>
      </c>
      <c r="AQ169" s="107"/>
      <c r="AR169" s="107"/>
      <c r="AS169" s="72"/>
      <c r="AT169" s="72"/>
      <c r="AU169" s="72"/>
      <c r="AV169" s="73"/>
      <c r="AW169" s="74">
        <f t="shared" si="36"/>
        <v>379160.04118644935</v>
      </c>
      <c r="AX169" s="74">
        <f t="shared" si="34"/>
        <v>505546.72158193251</v>
      </c>
      <c r="AY169" s="108"/>
      <c r="AZ169" s="108"/>
      <c r="BA169" s="108"/>
    </row>
    <row r="170" spans="1:53" s="76" customFormat="1" ht="38.25">
      <c r="A170" s="54">
        <f t="shared" si="37"/>
        <v>161</v>
      </c>
      <c r="B170" s="55" t="s">
        <v>307</v>
      </c>
      <c r="C170" s="56" t="s">
        <v>308</v>
      </c>
      <c r="D170" s="55" t="s">
        <v>57</v>
      </c>
      <c r="E170" s="55" t="s">
        <v>58</v>
      </c>
      <c r="F170" s="55"/>
      <c r="G170" s="55"/>
      <c r="H170" s="58">
        <v>43556</v>
      </c>
      <c r="I170" s="58">
        <v>43556</v>
      </c>
      <c r="J170" s="60">
        <v>1200000</v>
      </c>
      <c r="K170" s="61">
        <v>7.7499999999999999E-2</v>
      </c>
      <c r="L170" s="62">
        <v>0.9</v>
      </c>
      <c r="M170" s="63">
        <v>8</v>
      </c>
      <c r="N170" s="62">
        <v>12</v>
      </c>
      <c r="O170" s="63">
        <f t="shared" si="40"/>
        <v>55800</v>
      </c>
      <c r="P170" s="63">
        <f t="shared" si="41"/>
        <v>727987.27907798276</v>
      </c>
      <c r="Q170" s="63">
        <f t="shared" si="42"/>
        <v>33851.408477126199</v>
      </c>
      <c r="R170" s="63">
        <f t="shared" si="43"/>
        <v>21948.591522873801</v>
      </c>
      <c r="S170" s="64">
        <v>0.606656065898319</v>
      </c>
      <c r="T170" s="63"/>
      <c r="U170" s="62"/>
      <c r="V170" s="63">
        <f t="shared" si="38"/>
        <v>727987.27907798276</v>
      </c>
      <c r="W170" s="63">
        <f t="shared" si="38"/>
        <v>33851.408477126199</v>
      </c>
      <c r="X170" s="65">
        <f t="shared" si="39"/>
        <v>727987.27907798276</v>
      </c>
      <c r="Y170" s="65">
        <f t="shared" si="39"/>
        <v>33851.408477126199</v>
      </c>
      <c r="Z170" s="65"/>
      <c r="AA170" s="65"/>
      <c r="AB170" s="65">
        <f t="shared" si="44"/>
        <v>33851.408477126199</v>
      </c>
      <c r="AC170" s="66">
        <v>582389.82326238626</v>
      </c>
      <c r="AD170" s="66">
        <f t="shared" si="31"/>
        <v>647099.80362487363</v>
      </c>
      <c r="AE170" s="66"/>
      <c r="AF170" s="67"/>
      <c r="AG170" s="67"/>
      <c r="AH170" s="68">
        <v>20343.75</v>
      </c>
      <c r="AI170" s="68"/>
      <c r="AJ170" s="69"/>
      <c r="AK170" s="67">
        <f t="shared" si="35"/>
        <v>13507.658477126199</v>
      </c>
      <c r="AL170" s="67"/>
      <c r="AM170" s="67"/>
      <c r="AN170" s="67"/>
      <c r="AO170" s="67">
        <f t="shared" si="33"/>
        <v>13507.658477126199</v>
      </c>
      <c r="AP170" s="70">
        <f t="shared" si="32"/>
        <v>727987.27907798276</v>
      </c>
      <c r="AQ170" s="70"/>
      <c r="AR170" s="70"/>
      <c r="AS170" s="71"/>
      <c r="AT170" s="107">
        <v>500000</v>
      </c>
      <c r="AU170" s="107"/>
      <c r="AV170" s="113"/>
      <c r="AW170" s="74">
        <f t="shared" si="36"/>
        <v>227987.27907798276</v>
      </c>
      <c r="AX170" s="74">
        <f t="shared" si="34"/>
        <v>387316.37210397702</v>
      </c>
      <c r="AY170" s="75"/>
      <c r="AZ170" s="75"/>
      <c r="BA170" s="75"/>
    </row>
    <row r="171" spans="1:53" s="230" customFormat="1" ht="38.25">
      <c r="A171" s="120">
        <f t="shared" si="37"/>
        <v>162</v>
      </c>
      <c r="B171" s="80" t="s">
        <v>309</v>
      </c>
      <c r="C171" s="121" t="s">
        <v>310</v>
      </c>
      <c r="D171" s="80" t="s">
        <v>57</v>
      </c>
      <c r="E171" s="80" t="s">
        <v>58</v>
      </c>
      <c r="F171" s="80"/>
      <c r="G171" s="80"/>
      <c r="H171" s="122">
        <v>43525</v>
      </c>
      <c r="I171" s="81" t="s">
        <v>112</v>
      </c>
      <c r="J171" s="123">
        <v>2000000</v>
      </c>
      <c r="K171" s="124">
        <v>7.7499999999999999E-2</v>
      </c>
      <c r="L171" s="125">
        <v>0.9</v>
      </c>
      <c r="M171" s="126">
        <v>9</v>
      </c>
      <c r="N171" s="125">
        <v>12</v>
      </c>
      <c r="O171" s="126">
        <f t="shared" si="40"/>
        <v>104625</v>
      </c>
      <c r="P171" s="126">
        <f t="shared" si="41"/>
        <v>1213312.131796638</v>
      </c>
      <c r="Q171" s="126">
        <f t="shared" si="42"/>
        <v>63471.390894611628</v>
      </c>
      <c r="R171" s="126">
        <f t="shared" si="43"/>
        <v>41153.609105388372</v>
      </c>
      <c r="S171" s="127">
        <v>0.606656065898319</v>
      </c>
      <c r="T171" s="126"/>
      <c r="U171" s="125"/>
      <c r="V171" s="126">
        <f t="shared" si="38"/>
        <v>1213312.131796638</v>
      </c>
      <c r="W171" s="126">
        <f t="shared" si="38"/>
        <v>63471.390894611628</v>
      </c>
      <c r="X171" s="128">
        <f t="shared" si="39"/>
        <v>1213312.131796638</v>
      </c>
      <c r="Y171" s="128">
        <f t="shared" si="39"/>
        <v>63471.390894611628</v>
      </c>
      <c r="Z171" s="128"/>
      <c r="AA171" s="128"/>
      <c r="AB171" s="128">
        <f t="shared" si="44"/>
        <v>63471.390894611628</v>
      </c>
      <c r="AC171" s="129">
        <v>1091980.9186169743</v>
      </c>
      <c r="AD171" s="129">
        <f t="shared" si="31"/>
        <v>1213312.131796638</v>
      </c>
      <c r="AE171" s="129"/>
      <c r="AF171" s="130">
        <v>-63471.39</v>
      </c>
      <c r="AG171" s="130"/>
      <c r="AH171" s="130"/>
      <c r="AI171" s="130"/>
      <c r="AJ171" s="130"/>
      <c r="AK171" s="130">
        <f t="shared" si="35"/>
        <v>8.9461162860970944E-4</v>
      </c>
      <c r="AL171" s="130"/>
      <c r="AM171" s="130"/>
      <c r="AN171" s="130"/>
      <c r="AO171" s="130">
        <f t="shared" si="33"/>
        <v>8.9461162860970944E-4</v>
      </c>
      <c r="AP171" s="119">
        <f t="shared" si="32"/>
        <v>1364976.1482712177</v>
      </c>
      <c r="AQ171" s="119"/>
      <c r="AR171" s="182">
        <v>-1364976.15</v>
      </c>
      <c r="AS171" s="185"/>
      <c r="AT171" s="185"/>
      <c r="AU171" s="185"/>
      <c r="AV171" s="185"/>
      <c r="AW171" s="186">
        <f t="shared" si="36"/>
        <v>-1.7287821974605322E-3</v>
      </c>
      <c r="AX171" s="186">
        <f t="shared" si="34"/>
        <v>2.5651946340063347E-2</v>
      </c>
      <c r="AY171" s="229"/>
      <c r="AZ171" s="229"/>
      <c r="BA171" s="229"/>
    </row>
    <row r="172" spans="1:53" s="76" customFormat="1" ht="25.5">
      <c r="A172" s="54">
        <f t="shared" si="37"/>
        <v>163</v>
      </c>
      <c r="B172" s="55" t="s">
        <v>311</v>
      </c>
      <c r="C172" s="56" t="s">
        <v>312</v>
      </c>
      <c r="D172" s="55" t="s">
        <v>57</v>
      </c>
      <c r="E172" s="55" t="s">
        <v>58</v>
      </c>
      <c r="F172" s="55"/>
      <c r="G172" s="55"/>
      <c r="H172" s="58">
        <v>43556</v>
      </c>
      <c r="I172" s="58">
        <v>43586</v>
      </c>
      <c r="J172" s="60">
        <v>4000000</v>
      </c>
      <c r="K172" s="61">
        <v>7.7499999999999999E-2</v>
      </c>
      <c r="L172" s="62">
        <v>0.9</v>
      </c>
      <c r="M172" s="63">
        <v>8</v>
      </c>
      <c r="N172" s="62">
        <v>12</v>
      </c>
      <c r="O172" s="63">
        <f t="shared" si="40"/>
        <v>186000</v>
      </c>
      <c r="P172" s="63">
        <f t="shared" si="41"/>
        <v>2426624.263593276</v>
      </c>
      <c r="Q172" s="63">
        <f t="shared" si="42"/>
        <v>112838.02825708734</v>
      </c>
      <c r="R172" s="63">
        <f t="shared" si="43"/>
        <v>73161.971742912661</v>
      </c>
      <c r="S172" s="64">
        <v>0.606656065898319</v>
      </c>
      <c r="T172" s="63"/>
      <c r="U172" s="62"/>
      <c r="V172" s="63">
        <f t="shared" si="38"/>
        <v>2426624.263593276</v>
      </c>
      <c r="W172" s="63">
        <f t="shared" si="38"/>
        <v>112838.02825708734</v>
      </c>
      <c r="X172" s="65">
        <f t="shared" si="39"/>
        <v>2426624.263593276</v>
      </c>
      <c r="Y172" s="65">
        <f t="shared" si="39"/>
        <v>112838.02825708734</v>
      </c>
      <c r="Z172" s="65"/>
      <c r="AA172" s="65"/>
      <c r="AB172" s="65">
        <f t="shared" si="44"/>
        <v>112838.02825708734</v>
      </c>
      <c r="AC172" s="66">
        <v>1941299.410874621</v>
      </c>
      <c r="AD172" s="66">
        <f t="shared" si="31"/>
        <v>2156999.3454162455</v>
      </c>
      <c r="AE172" s="66"/>
      <c r="AF172" s="67"/>
      <c r="AG172" s="67"/>
      <c r="AH172" s="68"/>
      <c r="AI172" s="68"/>
      <c r="AJ172" s="69"/>
      <c r="AK172" s="67">
        <f t="shared" si="35"/>
        <v>112838.02825708734</v>
      </c>
      <c r="AL172" s="67"/>
      <c r="AM172" s="67"/>
      <c r="AN172" s="67"/>
      <c r="AO172" s="67">
        <f t="shared" si="33"/>
        <v>112838.02825708734</v>
      </c>
      <c r="AP172" s="70">
        <f t="shared" si="32"/>
        <v>2426624.263593276</v>
      </c>
      <c r="AQ172" s="70"/>
      <c r="AR172" s="70"/>
      <c r="AS172" s="71"/>
      <c r="AT172" s="72"/>
      <c r="AU172" s="72"/>
      <c r="AV172" s="73"/>
      <c r="AW172" s="74">
        <f t="shared" si="36"/>
        <v>2426624.263593276</v>
      </c>
      <c r="AX172" s="74">
        <f t="shared" si="34"/>
        <v>3235499.018124368</v>
      </c>
      <c r="AY172" s="75"/>
      <c r="AZ172" s="75"/>
      <c r="BA172" s="75"/>
    </row>
    <row r="173" spans="1:53" s="76" customFormat="1" ht="25.5">
      <c r="A173" s="54">
        <f t="shared" si="37"/>
        <v>164</v>
      </c>
      <c r="B173" s="55" t="s">
        <v>313</v>
      </c>
      <c r="C173" s="56" t="s">
        <v>314</v>
      </c>
      <c r="D173" s="55" t="s">
        <v>57</v>
      </c>
      <c r="E173" s="55" t="s">
        <v>58</v>
      </c>
      <c r="F173" s="55"/>
      <c r="G173" s="55"/>
      <c r="H173" s="58">
        <v>43556</v>
      </c>
      <c r="I173" s="115">
        <v>43617</v>
      </c>
      <c r="J173" s="60">
        <v>2500000</v>
      </c>
      <c r="K173" s="61">
        <v>7.7499999999999999E-2</v>
      </c>
      <c r="L173" s="62">
        <v>0.9</v>
      </c>
      <c r="M173" s="63">
        <v>8</v>
      </c>
      <c r="N173" s="62">
        <v>12</v>
      </c>
      <c r="O173" s="63">
        <f t="shared" si="40"/>
        <v>116250</v>
      </c>
      <c r="P173" s="63">
        <f t="shared" si="41"/>
        <v>1516640.1647457974</v>
      </c>
      <c r="Q173" s="63">
        <f t="shared" si="42"/>
        <v>70523.767660679572</v>
      </c>
      <c r="R173" s="63">
        <f t="shared" si="43"/>
        <v>45726.232339320428</v>
      </c>
      <c r="S173" s="64">
        <v>0.606656065898319</v>
      </c>
      <c r="T173" s="63"/>
      <c r="U173" s="62"/>
      <c r="V173" s="63">
        <f t="shared" si="38"/>
        <v>1516640.1647457974</v>
      </c>
      <c r="W173" s="63">
        <f t="shared" si="38"/>
        <v>70523.767660679572</v>
      </c>
      <c r="X173" s="65">
        <f t="shared" si="39"/>
        <v>1516640.1647457974</v>
      </c>
      <c r="Y173" s="65">
        <f t="shared" si="39"/>
        <v>70523.767660679572</v>
      </c>
      <c r="Z173" s="65"/>
      <c r="AA173" s="65"/>
      <c r="AB173" s="65">
        <f t="shared" si="44"/>
        <v>70523.767660679572</v>
      </c>
      <c r="AC173" s="66">
        <v>1971632.2141695363</v>
      </c>
      <c r="AD173" s="66">
        <f t="shared" si="31"/>
        <v>1348124.5908851533</v>
      </c>
      <c r="AE173" s="66"/>
      <c r="AF173" s="67"/>
      <c r="AG173" s="67"/>
      <c r="AH173" s="68"/>
      <c r="AI173" s="68"/>
      <c r="AJ173" s="69"/>
      <c r="AK173" s="67">
        <f t="shared" si="35"/>
        <v>70523.767660679572</v>
      </c>
      <c r="AL173" s="67"/>
      <c r="AM173" s="67"/>
      <c r="AN173" s="67"/>
      <c r="AO173" s="67">
        <f t="shared" si="33"/>
        <v>70523.767660679572</v>
      </c>
      <c r="AP173" s="70">
        <f t="shared" si="32"/>
        <v>1516640.1647457974</v>
      </c>
      <c r="AQ173" s="70"/>
      <c r="AR173" s="70"/>
      <c r="AS173" s="71"/>
      <c r="AT173" s="72"/>
      <c r="AU173" s="72"/>
      <c r="AV173" s="73"/>
      <c r="AW173" s="74">
        <f t="shared" si="36"/>
        <v>1516640.1647457974</v>
      </c>
      <c r="AX173" s="74">
        <f t="shared" si="34"/>
        <v>2022186.88632773</v>
      </c>
      <c r="AY173" s="75"/>
      <c r="AZ173" s="75"/>
      <c r="BA173" s="75"/>
    </row>
    <row r="174" spans="1:53" s="76" customFormat="1" ht="25.5">
      <c r="A174" s="54">
        <f t="shared" si="37"/>
        <v>165</v>
      </c>
      <c r="B174" s="55" t="s">
        <v>313</v>
      </c>
      <c r="C174" s="56" t="s">
        <v>315</v>
      </c>
      <c r="D174" s="55" t="s">
        <v>57</v>
      </c>
      <c r="E174" s="55" t="s">
        <v>58</v>
      </c>
      <c r="F174" s="55"/>
      <c r="G174" s="55"/>
      <c r="H174" s="58">
        <v>43647</v>
      </c>
      <c r="I174" s="115">
        <v>43617</v>
      </c>
      <c r="J174" s="60">
        <v>2500000</v>
      </c>
      <c r="K174" s="61">
        <v>7.7499999999999999E-2</v>
      </c>
      <c r="L174" s="62">
        <v>0.9</v>
      </c>
      <c r="M174" s="63">
        <v>5</v>
      </c>
      <c r="N174" s="62">
        <v>12</v>
      </c>
      <c r="O174" s="63">
        <f t="shared" si="40"/>
        <v>72656.25</v>
      </c>
      <c r="P174" s="63">
        <f t="shared" si="41"/>
        <v>1516640.1647457974</v>
      </c>
      <c r="Q174" s="63">
        <f t="shared" si="42"/>
        <v>44077.354787924734</v>
      </c>
      <c r="R174" s="63">
        <f t="shared" si="43"/>
        <v>28578.895212075266</v>
      </c>
      <c r="S174" s="64">
        <v>0.606656065898319</v>
      </c>
      <c r="T174" s="63"/>
      <c r="U174" s="62"/>
      <c r="V174" s="63">
        <f t="shared" si="38"/>
        <v>1516640.1647457974</v>
      </c>
      <c r="W174" s="63">
        <f t="shared" si="38"/>
        <v>44077.354787924734</v>
      </c>
      <c r="X174" s="65">
        <f t="shared" si="39"/>
        <v>1516640.1647457974</v>
      </c>
      <c r="Y174" s="65">
        <f t="shared" si="39"/>
        <v>44077.354787924734</v>
      </c>
      <c r="Z174" s="65"/>
      <c r="AA174" s="65"/>
      <c r="AB174" s="65">
        <f t="shared" si="44"/>
        <v>44077.354787924734</v>
      </c>
      <c r="AC174" s="66">
        <v>0</v>
      </c>
      <c r="AD174" s="66">
        <f t="shared" si="31"/>
        <v>842577.86930322065</v>
      </c>
      <c r="AE174" s="66"/>
      <c r="AF174" s="67"/>
      <c r="AG174" s="67"/>
      <c r="AH174" s="68"/>
      <c r="AI174" s="68"/>
      <c r="AJ174" s="69"/>
      <c r="AK174" s="67">
        <f t="shared" si="35"/>
        <v>44077.354787924734</v>
      </c>
      <c r="AL174" s="67"/>
      <c r="AM174" s="67"/>
      <c r="AN174" s="67"/>
      <c r="AO174" s="67">
        <f t="shared" si="33"/>
        <v>44077.354787924734</v>
      </c>
      <c r="AP174" s="70">
        <f t="shared" si="32"/>
        <v>947900.10296612326</v>
      </c>
      <c r="AQ174" s="70"/>
      <c r="AR174" s="70"/>
      <c r="AS174" s="71"/>
      <c r="AT174" s="72"/>
      <c r="AU174" s="72"/>
      <c r="AV174" s="73"/>
      <c r="AW174" s="74">
        <f t="shared" si="36"/>
        <v>947900.10296612326</v>
      </c>
      <c r="AX174" s="74">
        <f t="shared" si="34"/>
        <v>1263866.8039548311</v>
      </c>
      <c r="AY174" s="75"/>
      <c r="AZ174" s="75"/>
      <c r="BA174" s="75"/>
    </row>
    <row r="175" spans="1:53" s="230" customFormat="1" ht="25.5">
      <c r="A175" s="120">
        <f t="shared" si="37"/>
        <v>166</v>
      </c>
      <c r="B175" s="80" t="s">
        <v>316</v>
      </c>
      <c r="C175" s="121" t="s">
        <v>317</v>
      </c>
      <c r="D175" s="80" t="s">
        <v>57</v>
      </c>
      <c r="E175" s="80" t="s">
        <v>58</v>
      </c>
      <c r="F175" s="80"/>
      <c r="G175" s="80"/>
      <c r="H175" s="122">
        <v>43525</v>
      </c>
      <c r="I175" s="122" t="s">
        <v>102</v>
      </c>
      <c r="J175" s="123">
        <v>2000000</v>
      </c>
      <c r="K175" s="124">
        <v>7.7499999999999999E-2</v>
      </c>
      <c r="L175" s="125">
        <v>0.9</v>
      </c>
      <c r="M175" s="126">
        <v>9</v>
      </c>
      <c r="N175" s="125">
        <v>12</v>
      </c>
      <c r="O175" s="126">
        <f t="shared" si="40"/>
        <v>104625</v>
      </c>
      <c r="P175" s="126">
        <f t="shared" si="41"/>
        <v>1213312.131796638</v>
      </c>
      <c r="Q175" s="126">
        <f t="shared" si="42"/>
        <v>63471.390894611628</v>
      </c>
      <c r="R175" s="126">
        <f t="shared" si="43"/>
        <v>41153.609105388372</v>
      </c>
      <c r="S175" s="127">
        <v>0.606656065898319</v>
      </c>
      <c r="T175" s="126"/>
      <c r="U175" s="125"/>
      <c r="V175" s="126">
        <f t="shared" si="38"/>
        <v>1213312.131796638</v>
      </c>
      <c r="W175" s="126">
        <f t="shared" si="38"/>
        <v>63471.390894611628</v>
      </c>
      <c r="X175" s="128">
        <f t="shared" si="39"/>
        <v>1213312.131796638</v>
      </c>
      <c r="Y175" s="128">
        <f t="shared" si="39"/>
        <v>63471.390894611628</v>
      </c>
      <c r="Z175" s="128"/>
      <c r="AA175" s="128"/>
      <c r="AB175" s="128">
        <f t="shared" si="44"/>
        <v>63471.390894611628</v>
      </c>
      <c r="AC175" s="129">
        <v>1091980.9186169743</v>
      </c>
      <c r="AD175" s="129">
        <f t="shared" si="31"/>
        <v>1213312.131796638</v>
      </c>
      <c r="AE175" s="129">
        <v>63467.85</v>
      </c>
      <c r="AF175" s="130"/>
      <c r="AG175" s="130"/>
      <c r="AH175" s="130"/>
      <c r="AI175" s="130"/>
      <c r="AJ175" s="130"/>
      <c r="AK175" s="130">
        <f t="shared" si="35"/>
        <v>3.5408946116294828</v>
      </c>
      <c r="AL175" s="130"/>
      <c r="AM175" s="130"/>
      <c r="AN175" s="130"/>
      <c r="AO175" s="130">
        <f t="shared" si="33"/>
        <v>3.5408946116294828</v>
      </c>
      <c r="AP175" s="119">
        <f t="shared" si="32"/>
        <v>1364976.1482712177</v>
      </c>
      <c r="AQ175" s="242">
        <v>1364900</v>
      </c>
      <c r="AR175" s="242"/>
      <c r="AS175" s="185"/>
      <c r="AT175" s="185"/>
      <c r="AU175" s="185"/>
      <c r="AV175" s="185"/>
      <c r="AW175" s="186">
        <f t="shared" si="36"/>
        <v>76.148271217709407</v>
      </c>
      <c r="AX175" s="186">
        <f t="shared" si="34"/>
        <v>101.53102829045113</v>
      </c>
      <c r="AY175" s="229"/>
      <c r="AZ175" s="229"/>
      <c r="BA175" s="229"/>
    </row>
    <row r="176" spans="1:53" s="76" customFormat="1" ht="25.5">
      <c r="A176" s="54">
        <f t="shared" si="37"/>
        <v>167</v>
      </c>
      <c r="B176" s="55" t="s">
        <v>318</v>
      </c>
      <c r="C176" s="56" t="s">
        <v>319</v>
      </c>
      <c r="D176" s="55" t="s">
        <v>57</v>
      </c>
      <c r="E176" s="55" t="s">
        <v>58</v>
      </c>
      <c r="F176" s="55"/>
      <c r="G176" s="55"/>
      <c r="H176" s="58">
        <v>43525</v>
      </c>
      <c r="I176" s="115" t="s">
        <v>130</v>
      </c>
      <c r="J176" s="60">
        <v>6000000</v>
      </c>
      <c r="K176" s="61">
        <v>7.7499999999999999E-2</v>
      </c>
      <c r="L176" s="62">
        <v>0.9</v>
      </c>
      <c r="M176" s="63">
        <v>9</v>
      </c>
      <c r="N176" s="62">
        <v>12</v>
      </c>
      <c r="O176" s="63">
        <f t="shared" si="40"/>
        <v>313875</v>
      </c>
      <c r="P176" s="63">
        <f t="shared" si="41"/>
        <v>3639936.395389914</v>
      </c>
      <c r="Q176" s="63">
        <f t="shared" si="42"/>
        <v>190414.17268383488</v>
      </c>
      <c r="R176" s="63">
        <f t="shared" si="43"/>
        <v>123460.82731616512</v>
      </c>
      <c r="S176" s="64">
        <v>0.606656065898319</v>
      </c>
      <c r="T176" s="63"/>
      <c r="U176" s="62"/>
      <c r="V176" s="63">
        <f t="shared" si="38"/>
        <v>3639936.395389914</v>
      </c>
      <c r="W176" s="63">
        <f t="shared" si="38"/>
        <v>190414.17268383488</v>
      </c>
      <c r="X176" s="65">
        <f t="shared" si="39"/>
        <v>3639936.395389914</v>
      </c>
      <c r="Y176" s="65">
        <f t="shared" si="39"/>
        <v>190414.17268383488</v>
      </c>
      <c r="Z176" s="65"/>
      <c r="AA176" s="65">
        <v>189356.92</v>
      </c>
      <c r="AB176" s="65">
        <f t="shared" si="44"/>
        <v>1057.2526838348713</v>
      </c>
      <c r="AC176" s="66">
        <v>-2324057.2441490772</v>
      </c>
      <c r="AD176" s="66">
        <f t="shared" si="31"/>
        <v>20210.326094812357</v>
      </c>
      <c r="AE176" s="66"/>
      <c r="AF176" s="67"/>
      <c r="AG176" s="67"/>
      <c r="AH176" s="68"/>
      <c r="AI176" s="68"/>
      <c r="AJ176" s="69"/>
      <c r="AK176" s="67">
        <f t="shared" si="35"/>
        <v>1057.2526838348713</v>
      </c>
      <c r="AL176" s="67"/>
      <c r="AM176" s="67"/>
      <c r="AN176" s="67"/>
      <c r="AO176" s="67">
        <f t="shared" si="33"/>
        <v>1057.2526838348713</v>
      </c>
      <c r="AP176" s="70">
        <f t="shared" si="32"/>
        <v>22736.616856663899</v>
      </c>
      <c r="AQ176" s="70"/>
      <c r="AR176" s="70"/>
      <c r="AS176" s="71"/>
      <c r="AT176" s="72"/>
      <c r="AU176" s="72"/>
      <c r="AV176" s="73"/>
      <c r="AW176" s="74">
        <f t="shared" si="36"/>
        <v>22736.616856663899</v>
      </c>
      <c r="AX176" s="74">
        <f t="shared" si="34"/>
        <v>30315.489142218532</v>
      </c>
      <c r="AY176" s="75"/>
      <c r="AZ176" s="75"/>
      <c r="BA176" s="75"/>
    </row>
    <row r="177" spans="1:53" s="222" customFormat="1" ht="25.5">
      <c r="A177" s="77">
        <f t="shared" si="37"/>
        <v>168</v>
      </c>
      <c r="B177" s="78" t="s">
        <v>320</v>
      </c>
      <c r="C177" s="79" t="s">
        <v>321</v>
      </c>
      <c r="D177" s="78" t="s">
        <v>105</v>
      </c>
      <c r="E177" s="80" t="s">
        <v>85</v>
      </c>
      <c r="F177" s="78"/>
      <c r="G177" s="78"/>
      <c r="H177" s="81">
        <v>43497</v>
      </c>
      <c r="I177" s="81">
        <v>43497</v>
      </c>
      <c r="J177" s="82">
        <v>7500000</v>
      </c>
      <c r="K177" s="117">
        <v>7.7499999999999999E-2</v>
      </c>
      <c r="L177" s="85">
        <v>0.9</v>
      </c>
      <c r="M177" s="83">
        <v>10</v>
      </c>
      <c r="N177" s="85">
        <v>12</v>
      </c>
      <c r="O177" s="83">
        <f t="shared" si="40"/>
        <v>435937.5</v>
      </c>
      <c r="P177" s="83">
        <f t="shared" si="41"/>
        <v>4549920.4942373922</v>
      </c>
      <c r="Q177" s="83">
        <f t="shared" si="42"/>
        <v>264464.12872754846</v>
      </c>
      <c r="R177" s="83">
        <f t="shared" si="43"/>
        <v>171473.37127245154</v>
      </c>
      <c r="S177" s="84">
        <v>0.606656065898319</v>
      </c>
      <c r="T177" s="118">
        <v>10000000</v>
      </c>
      <c r="U177" s="94">
        <f>581250-U178</f>
        <v>369678.7</v>
      </c>
      <c r="V177" s="83">
        <f t="shared" si="38"/>
        <v>-5450079.5057626078</v>
      </c>
      <c r="W177" s="83">
        <f t="shared" si="38"/>
        <v>-105214.57127245155</v>
      </c>
      <c r="X177" s="86">
        <f t="shared" si="39"/>
        <v>-5450079.5057626078</v>
      </c>
      <c r="Y177" s="86">
        <f t="shared" si="39"/>
        <v>-105214.57127245155</v>
      </c>
      <c r="Z177" s="86"/>
      <c r="AA177" s="86"/>
      <c r="AB177" s="86">
        <f t="shared" si="44"/>
        <v>-105214.57127245155</v>
      </c>
      <c r="AC177" s="87">
        <v>-1810143.1103726935</v>
      </c>
      <c r="AD177" s="87">
        <f t="shared" si="31"/>
        <v>-2011270.1796406507</v>
      </c>
      <c r="AE177" s="87"/>
      <c r="AF177" s="88"/>
      <c r="AG177" s="88"/>
      <c r="AH177" s="88"/>
      <c r="AI177" s="88"/>
      <c r="AJ177" s="88"/>
      <c r="AK177" s="130">
        <f t="shared" si="35"/>
        <v>-105214.57127245155</v>
      </c>
      <c r="AL177" s="130"/>
      <c r="AM177" s="130"/>
      <c r="AN177" s="130"/>
      <c r="AO177" s="130">
        <f t="shared" si="33"/>
        <v>-105214.57127245155</v>
      </c>
      <c r="AP177" s="89">
        <f t="shared" si="32"/>
        <v>-2262678.9520957321</v>
      </c>
      <c r="AQ177" s="182"/>
      <c r="AR177" s="182"/>
      <c r="AS177" s="183"/>
      <c r="AT177" s="183"/>
      <c r="AU177" s="183"/>
      <c r="AV177" s="183"/>
      <c r="AW177" s="186">
        <f t="shared" si="36"/>
        <v>-2262678.9520957321</v>
      </c>
      <c r="AX177" s="223">
        <f t="shared" si="34"/>
        <v>-3016905.2694609761</v>
      </c>
      <c r="AY177" s="221"/>
      <c r="AZ177" s="221"/>
      <c r="BA177" s="221"/>
    </row>
    <row r="178" spans="1:53" s="222" customFormat="1" ht="25.5">
      <c r="A178" s="77">
        <f t="shared" si="37"/>
        <v>169</v>
      </c>
      <c r="B178" s="78" t="s">
        <v>320</v>
      </c>
      <c r="C178" s="79" t="s">
        <v>321</v>
      </c>
      <c r="D178" s="78" t="s">
        <v>57</v>
      </c>
      <c r="E178" s="80" t="s">
        <v>85</v>
      </c>
      <c r="F178" s="78"/>
      <c r="G178" s="78"/>
      <c r="H178" s="81">
        <v>43556</v>
      </c>
      <c r="I178" s="81">
        <v>43556</v>
      </c>
      <c r="J178" s="82">
        <v>7500000</v>
      </c>
      <c r="K178" s="117">
        <v>7.7499999999999999E-2</v>
      </c>
      <c r="L178" s="85">
        <v>0.9</v>
      </c>
      <c r="M178" s="83">
        <v>8</v>
      </c>
      <c r="N178" s="85">
        <v>12</v>
      </c>
      <c r="O178" s="83">
        <f t="shared" si="40"/>
        <v>348750</v>
      </c>
      <c r="P178" s="83">
        <f t="shared" si="41"/>
        <v>4549920.4942373922</v>
      </c>
      <c r="Q178" s="83">
        <f t="shared" si="42"/>
        <v>211571.30298203873</v>
      </c>
      <c r="R178" s="83">
        <f t="shared" si="43"/>
        <v>137178.69701796127</v>
      </c>
      <c r="S178" s="84">
        <v>0.606656065898319</v>
      </c>
      <c r="T178" s="83"/>
      <c r="U178" s="85">
        <v>211571.3</v>
      </c>
      <c r="V178" s="83">
        <f t="shared" si="38"/>
        <v>4549920.4942373922</v>
      </c>
      <c r="W178" s="83">
        <f t="shared" si="38"/>
        <v>2.9820387426298112E-3</v>
      </c>
      <c r="X178" s="86">
        <f t="shared" si="39"/>
        <v>4549920.4942373922</v>
      </c>
      <c r="Y178" s="86">
        <f t="shared" si="39"/>
        <v>2.9820387426298112E-3</v>
      </c>
      <c r="Z178" s="86"/>
      <c r="AA178" s="86"/>
      <c r="AB178" s="86">
        <f t="shared" si="44"/>
        <v>2.9820387426298112E-3</v>
      </c>
      <c r="AC178" s="87">
        <v>0</v>
      </c>
      <c r="AD178" s="87">
        <f t="shared" ref="AD178:AD241" si="45">AB178/K178/L178/9*N178</f>
        <v>5.700432482924371E-2</v>
      </c>
      <c r="AE178" s="87"/>
      <c r="AF178" s="88"/>
      <c r="AG178" s="88"/>
      <c r="AH178" s="88"/>
      <c r="AI178" s="88"/>
      <c r="AJ178" s="88"/>
      <c r="AK178" s="130">
        <f t="shared" si="35"/>
        <v>2.9820387426298112E-3</v>
      </c>
      <c r="AL178" s="130"/>
      <c r="AM178" s="130"/>
      <c r="AN178" s="130"/>
      <c r="AO178" s="130">
        <f t="shared" si="33"/>
        <v>2.9820387426298112E-3</v>
      </c>
      <c r="AP178" s="119">
        <f t="shared" si="32"/>
        <v>6.4129865432899169E-2</v>
      </c>
      <c r="AQ178" s="182"/>
      <c r="AR178" s="182"/>
      <c r="AS178" s="183"/>
      <c r="AT178" s="183"/>
      <c r="AU178" s="183"/>
      <c r="AV178" s="183"/>
      <c r="AW178" s="186">
        <f t="shared" si="36"/>
        <v>6.4129865432899169E-2</v>
      </c>
      <c r="AX178" s="186">
        <f t="shared" si="34"/>
        <v>8.5506487243865559E-2</v>
      </c>
      <c r="AY178" s="221"/>
      <c r="AZ178" s="221"/>
      <c r="BA178" s="221"/>
    </row>
    <row r="179" spans="1:53" s="76" customFormat="1" ht="25.5">
      <c r="A179" s="54">
        <f t="shared" si="37"/>
        <v>170</v>
      </c>
      <c r="B179" s="55" t="s">
        <v>322</v>
      </c>
      <c r="C179" s="56" t="s">
        <v>323</v>
      </c>
      <c r="D179" s="55" t="s">
        <v>57</v>
      </c>
      <c r="E179" s="55" t="s">
        <v>58</v>
      </c>
      <c r="F179" s="55"/>
      <c r="G179" s="55"/>
      <c r="H179" s="58">
        <v>43497</v>
      </c>
      <c r="I179" s="58" t="s">
        <v>324</v>
      </c>
      <c r="J179" s="60">
        <v>5000000</v>
      </c>
      <c r="K179" s="61">
        <v>7.7499999999999999E-2</v>
      </c>
      <c r="L179" s="62">
        <v>0.9</v>
      </c>
      <c r="M179" s="63">
        <v>10</v>
      </c>
      <c r="N179" s="62">
        <v>12</v>
      </c>
      <c r="O179" s="63">
        <f t="shared" si="40"/>
        <v>290625</v>
      </c>
      <c r="P179" s="63">
        <f t="shared" si="41"/>
        <v>3033280.3294915948</v>
      </c>
      <c r="Q179" s="63">
        <f t="shared" si="42"/>
        <v>176309.41915169894</v>
      </c>
      <c r="R179" s="63">
        <f t="shared" si="43"/>
        <v>114315.58084830106</v>
      </c>
      <c r="S179" s="64">
        <v>0.606656065898319</v>
      </c>
      <c r="T179" s="63"/>
      <c r="U179" s="62"/>
      <c r="V179" s="63">
        <f t="shared" si="38"/>
        <v>3033280.3294915948</v>
      </c>
      <c r="W179" s="63">
        <f t="shared" si="38"/>
        <v>176309.41915169894</v>
      </c>
      <c r="X179" s="65">
        <f t="shared" si="39"/>
        <v>3033280.3294915948</v>
      </c>
      <c r="Y179" s="65">
        <f t="shared" si="39"/>
        <v>176309.41915169894</v>
      </c>
      <c r="Z179" s="65"/>
      <c r="AA179" s="65"/>
      <c r="AB179" s="65">
        <f t="shared" si="44"/>
        <v>176309.41915169894</v>
      </c>
      <c r="AC179" s="66">
        <v>3033280.3294915948</v>
      </c>
      <c r="AD179" s="66">
        <f t="shared" si="45"/>
        <v>3370311.4772128826</v>
      </c>
      <c r="AE179" s="66"/>
      <c r="AF179" s="67"/>
      <c r="AG179" s="67"/>
      <c r="AH179" s="68"/>
      <c r="AI179" s="68"/>
      <c r="AJ179" s="69"/>
      <c r="AK179" s="67">
        <f t="shared" si="35"/>
        <v>176309.41915169894</v>
      </c>
      <c r="AL179" s="67"/>
      <c r="AM179" s="187">
        <v>111600</v>
      </c>
      <c r="AN179" s="175"/>
      <c r="AO179" s="67">
        <f t="shared" si="33"/>
        <v>64709.419151698938</v>
      </c>
      <c r="AP179" s="70">
        <f t="shared" si="32"/>
        <v>3791600.411864493</v>
      </c>
      <c r="AQ179" s="70"/>
      <c r="AR179" s="70"/>
      <c r="AS179" s="71"/>
      <c r="AT179" s="72"/>
      <c r="AU179" s="72"/>
      <c r="AV179" s="73"/>
      <c r="AW179" s="74">
        <f t="shared" si="36"/>
        <v>3791600.411864493</v>
      </c>
      <c r="AX179" s="74">
        <f t="shared" si="34"/>
        <v>1855467.2158193244</v>
      </c>
      <c r="AY179" s="75"/>
      <c r="AZ179" s="168">
        <f>AM179/7.75%/0.9/6*12</f>
        <v>3200000</v>
      </c>
      <c r="BA179" s="75"/>
    </row>
    <row r="180" spans="1:53" s="222" customFormat="1" ht="25.5">
      <c r="A180" s="77">
        <f t="shared" si="37"/>
        <v>171</v>
      </c>
      <c r="B180" s="78" t="s">
        <v>325</v>
      </c>
      <c r="C180" s="79" t="s">
        <v>326</v>
      </c>
      <c r="D180" s="78" t="s">
        <v>57</v>
      </c>
      <c r="E180" s="80" t="s">
        <v>85</v>
      </c>
      <c r="F180" s="78"/>
      <c r="G180" s="78"/>
      <c r="H180" s="81">
        <v>43497</v>
      </c>
      <c r="I180" s="81">
        <v>43497</v>
      </c>
      <c r="J180" s="82">
        <v>25000000</v>
      </c>
      <c r="K180" s="117">
        <v>7.7499999999999999E-2</v>
      </c>
      <c r="L180" s="85">
        <v>0.9</v>
      </c>
      <c r="M180" s="83">
        <v>10</v>
      </c>
      <c r="N180" s="85">
        <v>12</v>
      </c>
      <c r="O180" s="83">
        <f t="shared" si="40"/>
        <v>1453125</v>
      </c>
      <c r="P180" s="83">
        <f t="shared" si="41"/>
        <v>15166401.647457974</v>
      </c>
      <c r="Q180" s="83">
        <f t="shared" si="42"/>
        <v>881547.09575849457</v>
      </c>
      <c r="R180" s="83">
        <f t="shared" si="43"/>
        <v>571577.90424150543</v>
      </c>
      <c r="S180" s="84">
        <v>0.606656065898319</v>
      </c>
      <c r="T180" s="83"/>
      <c r="U180" s="85"/>
      <c r="V180" s="83">
        <f t="shared" si="38"/>
        <v>15166401.647457974</v>
      </c>
      <c r="W180" s="83">
        <f t="shared" si="38"/>
        <v>881547.09575849457</v>
      </c>
      <c r="X180" s="86">
        <f t="shared" si="39"/>
        <v>15166401.647457974</v>
      </c>
      <c r="Y180" s="86">
        <f t="shared" si="39"/>
        <v>881547.09575849457</v>
      </c>
      <c r="Z180" s="86"/>
      <c r="AA180" s="86">
        <f>1346756.25-AA182-AA181</f>
        <v>881547.1</v>
      </c>
      <c r="AB180" s="86">
        <f t="shared" si="44"/>
        <v>-4.2415054049342871E-3</v>
      </c>
      <c r="AC180" s="87">
        <v>-6825738.2826842144</v>
      </c>
      <c r="AD180" s="87">
        <f t="shared" si="45"/>
        <v>-8.1080151109854948E-2</v>
      </c>
      <c r="AE180" s="87"/>
      <c r="AF180" s="88"/>
      <c r="AG180" s="88"/>
      <c r="AH180" s="88"/>
      <c r="AI180" s="88"/>
      <c r="AJ180" s="88"/>
      <c r="AK180" s="130">
        <f t="shared" si="35"/>
        <v>-4.2415054049342871E-3</v>
      </c>
      <c r="AL180" s="130"/>
      <c r="AM180" s="130"/>
      <c r="AN180" s="130"/>
      <c r="AO180" s="130">
        <f t="shared" si="33"/>
        <v>-4.2415054049342871E-3</v>
      </c>
      <c r="AP180" s="89">
        <f t="shared" si="32"/>
        <v>-9.1215169998586809E-2</v>
      </c>
      <c r="AQ180" s="182"/>
      <c r="AR180" s="182"/>
      <c r="AS180" s="183"/>
      <c r="AT180" s="183"/>
      <c r="AU180" s="183"/>
      <c r="AV180" s="183"/>
      <c r="AW180" s="186">
        <f t="shared" si="36"/>
        <v>-9.1215169998586809E-2</v>
      </c>
      <c r="AX180" s="223">
        <f t="shared" si="34"/>
        <v>-0.12162022666478242</v>
      </c>
      <c r="AY180" s="221"/>
      <c r="AZ180" s="221"/>
      <c r="BA180" s="221"/>
    </row>
    <row r="181" spans="1:53" s="222" customFormat="1">
      <c r="A181" s="77">
        <f t="shared" si="37"/>
        <v>172</v>
      </c>
      <c r="B181" s="78" t="s">
        <v>325</v>
      </c>
      <c r="C181" s="79" t="s">
        <v>326</v>
      </c>
      <c r="D181" s="78" t="s">
        <v>97</v>
      </c>
      <c r="E181" s="80" t="s">
        <v>85</v>
      </c>
      <c r="F181" s="78"/>
      <c r="G181" s="78"/>
      <c r="H181" s="81">
        <v>43617</v>
      </c>
      <c r="I181" s="81">
        <v>43617</v>
      </c>
      <c r="J181" s="82">
        <v>12000000</v>
      </c>
      <c r="K181" s="117">
        <v>7.7499999999999999E-2</v>
      </c>
      <c r="L181" s="85">
        <v>0.9</v>
      </c>
      <c r="M181" s="83">
        <v>6</v>
      </c>
      <c r="N181" s="85">
        <v>12</v>
      </c>
      <c r="O181" s="83">
        <f t="shared" si="40"/>
        <v>418500</v>
      </c>
      <c r="P181" s="83">
        <f t="shared" si="41"/>
        <v>7279872.7907798281</v>
      </c>
      <c r="Q181" s="83">
        <f t="shared" si="42"/>
        <v>253885.56357844651</v>
      </c>
      <c r="R181" s="83">
        <f t="shared" si="43"/>
        <v>164614.43642155349</v>
      </c>
      <c r="S181" s="84">
        <v>0.606656065898319</v>
      </c>
      <c r="T181" s="83"/>
      <c r="U181" s="85"/>
      <c r="V181" s="83">
        <f t="shared" si="38"/>
        <v>7279872.7907798281</v>
      </c>
      <c r="W181" s="83">
        <f t="shared" si="38"/>
        <v>253885.56357844651</v>
      </c>
      <c r="X181" s="86">
        <f t="shared" si="39"/>
        <v>7279872.7907798281</v>
      </c>
      <c r="Y181" s="86">
        <f t="shared" si="39"/>
        <v>253885.56357844651</v>
      </c>
      <c r="Z181" s="86"/>
      <c r="AA181" s="86">
        <v>253637.85</v>
      </c>
      <c r="AB181" s="86">
        <f t="shared" si="44"/>
        <v>247.71357844650629</v>
      </c>
      <c r="AC181" s="87">
        <v>0</v>
      </c>
      <c r="AD181" s="87">
        <f t="shared" si="45"/>
        <v>4735.265537806572</v>
      </c>
      <c r="AE181" s="87"/>
      <c r="AF181" s="88"/>
      <c r="AG181" s="88"/>
      <c r="AH181" s="88"/>
      <c r="AI181" s="88"/>
      <c r="AJ181" s="88"/>
      <c r="AK181" s="130">
        <f t="shared" si="35"/>
        <v>247.71357844650629</v>
      </c>
      <c r="AL181" s="130"/>
      <c r="AM181" s="130"/>
      <c r="AN181" s="130"/>
      <c r="AO181" s="130">
        <f t="shared" si="33"/>
        <v>247.71357844650629</v>
      </c>
      <c r="AP181" s="119">
        <f t="shared" si="32"/>
        <v>5327.173730032393</v>
      </c>
      <c r="AQ181" s="182"/>
      <c r="AR181" s="182"/>
      <c r="AS181" s="183"/>
      <c r="AT181" s="183"/>
      <c r="AU181" s="183"/>
      <c r="AV181" s="183"/>
      <c r="AW181" s="186">
        <f t="shared" si="36"/>
        <v>5327.173730032393</v>
      </c>
      <c r="AX181" s="186">
        <f t="shared" si="34"/>
        <v>7102.8983067098579</v>
      </c>
      <c r="AY181" s="221"/>
      <c r="AZ181" s="221"/>
      <c r="BA181" s="221"/>
    </row>
    <row r="182" spans="1:53" s="222" customFormat="1" ht="25.5">
      <c r="A182" s="77">
        <f t="shared" si="37"/>
        <v>173</v>
      </c>
      <c r="B182" s="78" t="s">
        <v>325</v>
      </c>
      <c r="C182" s="79" t="s">
        <v>326</v>
      </c>
      <c r="D182" s="78" t="s">
        <v>57</v>
      </c>
      <c r="E182" s="80" t="s">
        <v>85</v>
      </c>
      <c r="F182" s="78"/>
      <c r="G182" s="78"/>
      <c r="H182" s="81">
        <v>43617</v>
      </c>
      <c r="I182" s="81">
        <v>43617</v>
      </c>
      <c r="J182" s="82">
        <v>10000000</v>
      </c>
      <c r="K182" s="117">
        <v>7.7499999999999999E-2</v>
      </c>
      <c r="L182" s="85">
        <v>0.9</v>
      </c>
      <c r="M182" s="83">
        <v>6</v>
      </c>
      <c r="N182" s="85">
        <v>12</v>
      </c>
      <c r="O182" s="83">
        <f t="shared" si="40"/>
        <v>348750</v>
      </c>
      <c r="P182" s="83">
        <f t="shared" si="41"/>
        <v>6066560.6589831896</v>
      </c>
      <c r="Q182" s="83">
        <f t="shared" si="42"/>
        <v>211571.30298203873</v>
      </c>
      <c r="R182" s="83">
        <f t="shared" si="43"/>
        <v>137178.69701796127</v>
      </c>
      <c r="S182" s="84">
        <v>0.606656065898319</v>
      </c>
      <c r="T182" s="83"/>
      <c r="U182" s="85"/>
      <c r="V182" s="83">
        <f t="shared" si="38"/>
        <v>6066560.6589831896</v>
      </c>
      <c r="W182" s="83">
        <f t="shared" si="38"/>
        <v>211571.30298203873</v>
      </c>
      <c r="X182" s="86">
        <f t="shared" si="39"/>
        <v>6066560.6589831896</v>
      </c>
      <c r="Y182" s="86">
        <f t="shared" si="39"/>
        <v>211571.30298203873</v>
      </c>
      <c r="Z182" s="86"/>
      <c r="AA182" s="86">
        <v>211571.3</v>
      </c>
      <c r="AB182" s="86">
        <f t="shared" si="44"/>
        <v>2.9820387426298112E-3</v>
      </c>
      <c r="AC182" s="87">
        <v>0</v>
      </c>
      <c r="AD182" s="87">
        <f t="shared" si="45"/>
        <v>5.700432482924371E-2</v>
      </c>
      <c r="AE182" s="87"/>
      <c r="AF182" s="88"/>
      <c r="AG182" s="88"/>
      <c r="AH182" s="88"/>
      <c r="AI182" s="88"/>
      <c r="AJ182" s="88"/>
      <c r="AK182" s="130">
        <f t="shared" si="35"/>
        <v>2.9820387426298112E-3</v>
      </c>
      <c r="AL182" s="130"/>
      <c r="AM182" s="130"/>
      <c r="AN182" s="130"/>
      <c r="AO182" s="130">
        <f t="shared" si="33"/>
        <v>2.9820387426298112E-3</v>
      </c>
      <c r="AP182" s="119">
        <f t="shared" si="32"/>
        <v>6.4129865432899169E-2</v>
      </c>
      <c r="AQ182" s="182"/>
      <c r="AR182" s="182"/>
      <c r="AS182" s="183"/>
      <c r="AT182" s="183"/>
      <c r="AU182" s="183"/>
      <c r="AV182" s="183"/>
      <c r="AW182" s="186">
        <f t="shared" si="36"/>
        <v>6.4129865432899169E-2</v>
      </c>
      <c r="AX182" s="186">
        <f t="shared" si="34"/>
        <v>8.5506487243865559E-2</v>
      </c>
      <c r="AY182" s="221"/>
      <c r="AZ182" s="221"/>
      <c r="BA182" s="221"/>
    </row>
    <row r="183" spans="1:53" s="222" customFormat="1" ht="25.5">
      <c r="A183" s="77">
        <f t="shared" si="37"/>
        <v>174</v>
      </c>
      <c r="B183" s="78" t="s">
        <v>327</v>
      </c>
      <c r="C183" s="79" t="s">
        <v>328</v>
      </c>
      <c r="D183" s="78" t="s">
        <v>57</v>
      </c>
      <c r="E183" s="80" t="s">
        <v>85</v>
      </c>
      <c r="F183" s="78"/>
      <c r="G183" s="78"/>
      <c r="H183" s="81">
        <v>43525</v>
      </c>
      <c r="I183" s="81">
        <v>43525</v>
      </c>
      <c r="J183" s="82">
        <v>10000000</v>
      </c>
      <c r="K183" s="117">
        <v>7.7499999999999999E-2</v>
      </c>
      <c r="L183" s="85">
        <v>0.9</v>
      </c>
      <c r="M183" s="83">
        <v>9</v>
      </c>
      <c r="N183" s="85">
        <v>12</v>
      </c>
      <c r="O183" s="83">
        <f t="shared" si="40"/>
        <v>523125</v>
      </c>
      <c r="P183" s="83">
        <f t="shared" si="41"/>
        <v>6066560.6589831896</v>
      </c>
      <c r="Q183" s="83">
        <f t="shared" si="42"/>
        <v>317356.95447305811</v>
      </c>
      <c r="R183" s="83">
        <f t="shared" si="43"/>
        <v>205768.04552694189</v>
      </c>
      <c r="S183" s="84">
        <v>0.606656065898319</v>
      </c>
      <c r="T183" s="118">
        <v>9900000</v>
      </c>
      <c r="U183" s="94">
        <v>575437.5</v>
      </c>
      <c r="V183" s="83">
        <f t="shared" si="38"/>
        <v>-3833439.3410168104</v>
      </c>
      <c r="W183" s="83">
        <f t="shared" si="38"/>
        <v>-258080.54552694189</v>
      </c>
      <c r="X183" s="86">
        <f t="shared" si="39"/>
        <v>-3833439.3410168104</v>
      </c>
      <c r="Y183" s="86">
        <f t="shared" si="39"/>
        <v>-258080.54552694189</v>
      </c>
      <c r="Z183" s="86"/>
      <c r="AA183" s="86"/>
      <c r="AB183" s="86">
        <f t="shared" si="44"/>
        <v>-258080.54552694189</v>
      </c>
      <c r="AC183" s="87">
        <v>-6810143.1103726942</v>
      </c>
      <c r="AD183" s="87">
        <f t="shared" si="45"/>
        <v>-4933439.3410168104</v>
      </c>
      <c r="AE183" s="87"/>
      <c r="AF183" s="88"/>
      <c r="AG183" s="88"/>
      <c r="AH183" s="88"/>
      <c r="AI183" s="88"/>
      <c r="AJ183" s="88"/>
      <c r="AK183" s="130">
        <f t="shared" si="35"/>
        <v>-258080.54552694189</v>
      </c>
      <c r="AL183" s="130"/>
      <c r="AM183" s="130"/>
      <c r="AN183" s="130"/>
      <c r="AO183" s="130">
        <f t="shared" si="33"/>
        <v>-258080.54552694189</v>
      </c>
      <c r="AP183" s="89">
        <f t="shared" si="32"/>
        <v>-5550119.2586439122</v>
      </c>
      <c r="AQ183" s="182"/>
      <c r="AR183" s="182"/>
      <c r="AS183" s="183"/>
      <c r="AT183" s="183"/>
      <c r="AU183" s="183"/>
      <c r="AV183" s="183"/>
      <c r="AW183" s="186">
        <f t="shared" si="36"/>
        <v>-5550119.2586439122</v>
      </c>
      <c r="AX183" s="223">
        <f t="shared" si="34"/>
        <v>-7400159.0115252156</v>
      </c>
      <c r="AY183" s="221"/>
      <c r="AZ183" s="221"/>
      <c r="BA183" s="221"/>
    </row>
    <row r="184" spans="1:53" s="222" customFormat="1" ht="25.5">
      <c r="A184" s="77">
        <f t="shared" si="37"/>
        <v>175</v>
      </c>
      <c r="B184" s="78" t="s">
        <v>327</v>
      </c>
      <c r="C184" s="79" t="s">
        <v>328</v>
      </c>
      <c r="D184" s="78" t="s">
        <v>97</v>
      </c>
      <c r="E184" s="80" t="s">
        <v>85</v>
      </c>
      <c r="F184" s="78"/>
      <c r="G184" s="78"/>
      <c r="H184" s="81">
        <v>43525</v>
      </c>
      <c r="I184" s="81">
        <v>43525</v>
      </c>
      <c r="J184" s="82">
        <v>5000000</v>
      </c>
      <c r="K184" s="117">
        <v>7.7499999999999999E-2</v>
      </c>
      <c r="L184" s="85">
        <v>0.9</v>
      </c>
      <c r="M184" s="83">
        <v>9</v>
      </c>
      <c r="N184" s="85">
        <v>12</v>
      </c>
      <c r="O184" s="83">
        <f t="shared" si="40"/>
        <v>261562.5</v>
      </c>
      <c r="P184" s="83">
        <f t="shared" si="41"/>
        <v>3033280.3294915948</v>
      </c>
      <c r="Q184" s="83">
        <f t="shared" si="42"/>
        <v>158678.47723652906</v>
      </c>
      <c r="R184" s="83">
        <f t="shared" si="43"/>
        <v>102884.02276347094</v>
      </c>
      <c r="S184" s="84">
        <v>0.606656065898319</v>
      </c>
      <c r="T184" s="118">
        <v>5100000</v>
      </c>
      <c r="U184" s="94">
        <v>296437.5</v>
      </c>
      <c r="V184" s="83">
        <f t="shared" si="38"/>
        <v>-2066719.6705084052</v>
      </c>
      <c r="W184" s="83">
        <f t="shared" si="38"/>
        <v>-137759.02276347094</v>
      </c>
      <c r="X184" s="86">
        <f t="shared" si="39"/>
        <v>-2066719.6705084052</v>
      </c>
      <c r="Y184" s="86">
        <f t="shared" si="39"/>
        <v>-137759.02276347094</v>
      </c>
      <c r="Z184" s="86"/>
      <c r="AA184" s="86"/>
      <c r="AB184" s="86">
        <f t="shared" si="44"/>
        <v>-137759.02276347094</v>
      </c>
      <c r="AC184" s="87">
        <v>0</v>
      </c>
      <c r="AD184" s="87">
        <f t="shared" si="45"/>
        <v>-2633386.3371750722</v>
      </c>
      <c r="AE184" s="87"/>
      <c r="AF184" s="88"/>
      <c r="AG184" s="88"/>
      <c r="AH184" s="88"/>
      <c r="AI184" s="88"/>
      <c r="AJ184" s="88"/>
      <c r="AK184" s="130">
        <f t="shared" si="35"/>
        <v>-137759.02276347094</v>
      </c>
      <c r="AL184" s="130"/>
      <c r="AM184" s="130"/>
      <c r="AN184" s="130"/>
      <c r="AO184" s="130">
        <f t="shared" si="33"/>
        <v>-137759.02276347094</v>
      </c>
      <c r="AP184" s="89">
        <f t="shared" si="32"/>
        <v>-2962559.6293219561</v>
      </c>
      <c r="AQ184" s="182"/>
      <c r="AR184" s="182"/>
      <c r="AS184" s="183"/>
      <c r="AT184" s="183"/>
      <c r="AU184" s="183"/>
      <c r="AV184" s="183"/>
      <c r="AW184" s="186">
        <f t="shared" si="36"/>
        <v>-2962559.6293219561</v>
      </c>
      <c r="AX184" s="223">
        <f t="shared" si="34"/>
        <v>-3950079.5057626078</v>
      </c>
      <c r="AY184" s="221"/>
      <c r="AZ184" s="221"/>
      <c r="BA184" s="221"/>
    </row>
    <row r="185" spans="1:53" s="222" customFormat="1" ht="25.5">
      <c r="A185" s="77">
        <f t="shared" si="37"/>
        <v>176</v>
      </c>
      <c r="B185" s="78" t="s">
        <v>329</v>
      </c>
      <c r="C185" s="79" t="s">
        <v>330</v>
      </c>
      <c r="D185" s="78" t="s">
        <v>57</v>
      </c>
      <c r="E185" s="80" t="s">
        <v>85</v>
      </c>
      <c r="F185" s="78"/>
      <c r="G185" s="78"/>
      <c r="H185" s="81">
        <v>43525</v>
      </c>
      <c r="I185" s="81">
        <v>43525</v>
      </c>
      <c r="J185" s="82">
        <v>15000000</v>
      </c>
      <c r="K185" s="117">
        <v>7.7499999999999999E-2</v>
      </c>
      <c r="L185" s="85">
        <v>0.9</v>
      </c>
      <c r="M185" s="83">
        <v>9</v>
      </c>
      <c r="N185" s="85">
        <v>12</v>
      </c>
      <c r="O185" s="83">
        <f t="shared" si="40"/>
        <v>784687.5</v>
      </c>
      <c r="P185" s="83">
        <f t="shared" si="41"/>
        <v>9099840.9884747844</v>
      </c>
      <c r="Q185" s="83">
        <f t="shared" si="42"/>
        <v>476035.43170958717</v>
      </c>
      <c r="R185" s="83">
        <f t="shared" si="43"/>
        <v>308652.06829041283</v>
      </c>
      <c r="S185" s="84">
        <v>0.606656065898319</v>
      </c>
      <c r="T185" s="83"/>
      <c r="U185" s="85"/>
      <c r="V185" s="83">
        <f t="shared" si="38"/>
        <v>9099840.9884747844</v>
      </c>
      <c r="W185" s="83">
        <f t="shared" si="38"/>
        <v>476035.43170958717</v>
      </c>
      <c r="X185" s="86">
        <f t="shared" si="39"/>
        <v>9099840.9884747844</v>
      </c>
      <c r="Y185" s="86">
        <f t="shared" si="39"/>
        <v>476035.43170958717</v>
      </c>
      <c r="Z185" s="86">
        <f>813750-Z186-Z187</f>
        <v>476035.43</v>
      </c>
      <c r="AA185" s="86"/>
      <c r="AB185" s="86">
        <f t="shared" si="44"/>
        <v>1.7095871735364199E-3</v>
      </c>
      <c r="AC185" s="87">
        <v>2379713.7792546153</v>
      </c>
      <c r="AD185" s="87">
        <f t="shared" si="45"/>
        <v>3.2680280497709345E-2</v>
      </c>
      <c r="AE185" s="87"/>
      <c r="AF185" s="88"/>
      <c r="AG185" s="88"/>
      <c r="AH185" s="88"/>
      <c r="AI185" s="88"/>
      <c r="AJ185" s="88"/>
      <c r="AK185" s="130">
        <f t="shared" si="35"/>
        <v>1.7095871735364199E-3</v>
      </c>
      <c r="AL185" s="130"/>
      <c r="AM185" s="130"/>
      <c r="AN185" s="130"/>
      <c r="AO185" s="130">
        <f t="shared" si="33"/>
        <v>1.7095871735364199E-3</v>
      </c>
      <c r="AP185" s="119">
        <f t="shared" ref="AP185:AP248" si="46">AB185/K185/L185/8*N185</f>
        <v>3.6765315559923011E-2</v>
      </c>
      <c r="AQ185" s="182"/>
      <c r="AR185" s="182"/>
      <c r="AS185" s="183"/>
      <c r="AT185" s="183"/>
      <c r="AU185" s="183"/>
      <c r="AV185" s="183"/>
      <c r="AW185" s="186">
        <f t="shared" si="36"/>
        <v>3.6765315559923011E-2</v>
      </c>
      <c r="AX185" s="186">
        <f t="shared" si="34"/>
        <v>4.9020420746564014E-2</v>
      </c>
      <c r="AY185" s="221"/>
      <c r="AZ185" s="221"/>
      <c r="BA185" s="221"/>
    </row>
    <row r="186" spans="1:53" s="222" customFormat="1" ht="25.5">
      <c r="A186" s="77">
        <f t="shared" si="37"/>
        <v>177</v>
      </c>
      <c r="B186" s="78" t="s">
        <v>329</v>
      </c>
      <c r="C186" s="79" t="s">
        <v>330</v>
      </c>
      <c r="D186" s="78" t="s">
        <v>57</v>
      </c>
      <c r="E186" s="80" t="s">
        <v>85</v>
      </c>
      <c r="F186" s="78"/>
      <c r="G186" s="78"/>
      <c r="H186" s="81">
        <v>43525</v>
      </c>
      <c r="I186" s="81">
        <v>43525</v>
      </c>
      <c r="J186" s="82">
        <v>10000000</v>
      </c>
      <c r="K186" s="117">
        <v>7.7499999999999999E-2</v>
      </c>
      <c r="L186" s="85">
        <v>0.9</v>
      </c>
      <c r="M186" s="83">
        <v>9</v>
      </c>
      <c r="N186" s="85">
        <v>12</v>
      </c>
      <c r="O186" s="83">
        <f t="shared" si="40"/>
        <v>523125</v>
      </c>
      <c r="P186" s="83">
        <f t="shared" si="41"/>
        <v>6066560.6589831896</v>
      </c>
      <c r="Q186" s="83">
        <f t="shared" si="42"/>
        <v>317356.95447305811</v>
      </c>
      <c r="R186" s="83">
        <f t="shared" si="43"/>
        <v>205768.04552694189</v>
      </c>
      <c r="S186" s="84">
        <v>0.606656065898319</v>
      </c>
      <c r="T186" s="83"/>
      <c r="U186" s="85"/>
      <c r="V186" s="83">
        <f t="shared" si="38"/>
        <v>6066560.6589831896</v>
      </c>
      <c r="W186" s="83">
        <f t="shared" si="38"/>
        <v>317356.95447305811</v>
      </c>
      <c r="X186" s="86">
        <f t="shared" si="39"/>
        <v>6066560.6589831896</v>
      </c>
      <c r="Y186" s="86">
        <f t="shared" si="39"/>
        <v>317356.95447305811</v>
      </c>
      <c r="Z186" s="86">
        <v>317356.95</v>
      </c>
      <c r="AA186" s="86"/>
      <c r="AB186" s="86">
        <f t="shared" si="44"/>
        <v>4.4730580993928015E-3</v>
      </c>
      <c r="AC186" s="87">
        <v>0</v>
      </c>
      <c r="AD186" s="87">
        <f t="shared" si="45"/>
        <v>8.5506486965692741E-2</v>
      </c>
      <c r="AE186" s="87"/>
      <c r="AF186" s="88"/>
      <c r="AG186" s="88"/>
      <c r="AH186" s="88"/>
      <c r="AI186" s="88"/>
      <c r="AJ186" s="88"/>
      <c r="AK186" s="130">
        <f t="shared" si="35"/>
        <v>4.4730580993928015E-3</v>
      </c>
      <c r="AL186" s="130"/>
      <c r="AM186" s="130"/>
      <c r="AN186" s="130"/>
      <c r="AO186" s="130">
        <f t="shared" si="33"/>
        <v>4.4730580993928015E-3</v>
      </c>
      <c r="AP186" s="119">
        <f t="shared" si="46"/>
        <v>9.6194797836404333E-2</v>
      </c>
      <c r="AQ186" s="182"/>
      <c r="AR186" s="182"/>
      <c r="AS186" s="183"/>
      <c r="AT186" s="183"/>
      <c r="AU186" s="183"/>
      <c r="AV186" s="183"/>
      <c r="AW186" s="186">
        <f t="shared" si="36"/>
        <v>9.6194797836404333E-2</v>
      </c>
      <c r="AX186" s="186">
        <f t="shared" si="34"/>
        <v>0.12825973044853911</v>
      </c>
      <c r="AY186" s="221"/>
      <c r="AZ186" s="221"/>
      <c r="BA186" s="221"/>
    </row>
    <row r="187" spans="1:53">
      <c r="A187" s="151">
        <f t="shared" si="37"/>
        <v>178</v>
      </c>
      <c r="B187" s="152" t="s">
        <v>329</v>
      </c>
      <c r="C187" s="153" t="s">
        <v>330</v>
      </c>
      <c r="D187" s="169" t="s">
        <v>285</v>
      </c>
      <c r="E187" s="152" t="s">
        <v>85</v>
      </c>
      <c r="F187" s="152"/>
      <c r="G187" s="152"/>
      <c r="H187" s="154">
        <v>43525</v>
      </c>
      <c r="I187" s="59" t="s">
        <v>81</v>
      </c>
      <c r="J187" s="155">
        <v>5000000</v>
      </c>
      <c r="K187" s="156">
        <v>7.7499999999999999E-2</v>
      </c>
      <c r="L187" s="157">
        <v>0.9</v>
      </c>
      <c r="M187" s="158">
        <v>9</v>
      </c>
      <c r="N187" s="157">
        <v>12</v>
      </c>
      <c r="O187" s="158">
        <f t="shared" si="40"/>
        <v>261562.5</v>
      </c>
      <c r="P187" s="158">
        <f t="shared" si="41"/>
        <v>3033280.3294915948</v>
      </c>
      <c r="Q187" s="158">
        <f t="shared" si="42"/>
        <v>158678.47723652906</v>
      </c>
      <c r="R187" s="158">
        <f t="shared" si="43"/>
        <v>102884.02276347094</v>
      </c>
      <c r="S187" s="159">
        <v>0.606656065898319</v>
      </c>
      <c r="T187" s="158"/>
      <c r="U187" s="157"/>
      <c r="V187" s="158">
        <f t="shared" si="38"/>
        <v>3033280.3294915948</v>
      </c>
      <c r="W187" s="158">
        <f t="shared" si="38"/>
        <v>158678.47723652906</v>
      </c>
      <c r="X187" s="160">
        <f t="shared" si="39"/>
        <v>3033280.3294915948</v>
      </c>
      <c r="Y187" s="160">
        <f t="shared" si="39"/>
        <v>158678.47723652906</v>
      </c>
      <c r="Z187" s="160">
        <v>20357.62</v>
      </c>
      <c r="AA187" s="160"/>
      <c r="AB187" s="184">
        <f t="shared" si="44"/>
        <v>138320.85723652906</v>
      </c>
      <c r="AC187" s="162">
        <v>0</v>
      </c>
      <c r="AD187" s="162">
        <f t="shared" si="45"/>
        <v>2644126.3032072457</v>
      </c>
      <c r="AE187" s="162"/>
      <c r="AF187" s="163"/>
      <c r="AG187" s="163"/>
      <c r="AH187" s="68"/>
      <c r="AI187" s="68"/>
      <c r="AJ187" s="69"/>
      <c r="AK187" s="67">
        <f t="shared" si="35"/>
        <v>138320.85723652906</v>
      </c>
      <c r="AL187" s="67"/>
      <c r="AM187" s="67"/>
      <c r="AN187" s="67"/>
      <c r="AO187" s="67">
        <f t="shared" si="33"/>
        <v>138320.85723652906</v>
      </c>
      <c r="AP187" s="164">
        <f t="shared" si="46"/>
        <v>2974642.0911081517</v>
      </c>
      <c r="AQ187" s="164"/>
      <c r="AR187" s="164"/>
      <c r="AS187" s="165"/>
      <c r="AT187" s="72"/>
      <c r="AU187" s="72"/>
      <c r="AV187" s="73"/>
      <c r="AW187" s="74">
        <f t="shared" si="36"/>
        <v>2974642.0911081517</v>
      </c>
      <c r="AX187" s="74">
        <f t="shared" si="34"/>
        <v>3966189.4548108689</v>
      </c>
      <c r="AY187" s="150"/>
      <c r="AZ187" s="150"/>
      <c r="BA187" s="150"/>
    </row>
    <row r="188" spans="1:53" s="222" customFormat="1" ht="25.5">
      <c r="A188" s="77">
        <f t="shared" si="37"/>
        <v>179</v>
      </c>
      <c r="B188" s="78" t="s">
        <v>331</v>
      </c>
      <c r="C188" s="79" t="s">
        <v>332</v>
      </c>
      <c r="D188" s="78" t="s">
        <v>57</v>
      </c>
      <c r="E188" s="80" t="s">
        <v>58</v>
      </c>
      <c r="F188" s="78"/>
      <c r="G188" s="78"/>
      <c r="H188" s="81">
        <v>43525</v>
      </c>
      <c r="I188" s="81">
        <v>43525</v>
      </c>
      <c r="J188" s="82">
        <v>3000000</v>
      </c>
      <c r="K188" s="117">
        <v>7.7499999999999999E-2</v>
      </c>
      <c r="L188" s="85">
        <v>0.9</v>
      </c>
      <c r="M188" s="83">
        <v>9</v>
      </c>
      <c r="N188" s="85">
        <v>12</v>
      </c>
      <c r="O188" s="83">
        <f t="shared" si="40"/>
        <v>156937.5</v>
      </c>
      <c r="P188" s="83">
        <f t="shared" si="41"/>
        <v>1819968.197694957</v>
      </c>
      <c r="Q188" s="83">
        <f t="shared" si="42"/>
        <v>95207.086341917442</v>
      </c>
      <c r="R188" s="83">
        <f t="shared" si="43"/>
        <v>61730.413658082558</v>
      </c>
      <c r="S188" s="84">
        <v>0.606656065898319</v>
      </c>
      <c r="T188" s="118">
        <v>2000000</v>
      </c>
      <c r="U188" s="94">
        <v>116250</v>
      </c>
      <c r="V188" s="83">
        <f t="shared" si="38"/>
        <v>-180031.80230504298</v>
      </c>
      <c r="W188" s="83">
        <f t="shared" si="38"/>
        <v>-21042.913658082558</v>
      </c>
      <c r="X188" s="86">
        <f t="shared" si="39"/>
        <v>-180031.80230504298</v>
      </c>
      <c r="Y188" s="86">
        <f t="shared" si="39"/>
        <v>-21042.913658082558</v>
      </c>
      <c r="Z188" s="86"/>
      <c r="AA188" s="86"/>
      <c r="AB188" s="86">
        <f t="shared" si="44"/>
        <v>-21042.913658082558</v>
      </c>
      <c r="AC188" s="87">
        <v>-362028.62207453861</v>
      </c>
      <c r="AD188" s="87">
        <f t="shared" si="45"/>
        <v>-402254.02452726517</v>
      </c>
      <c r="AE188" s="87"/>
      <c r="AF188" s="88"/>
      <c r="AG188" s="88"/>
      <c r="AH188" s="88"/>
      <c r="AI188" s="88"/>
      <c r="AJ188" s="88"/>
      <c r="AK188" s="130">
        <f t="shared" si="35"/>
        <v>-21042.913658082558</v>
      </c>
      <c r="AL188" s="130"/>
      <c r="AM188" s="130"/>
      <c r="AN188" s="130"/>
      <c r="AO188" s="130">
        <f t="shared" si="33"/>
        <v>-21042.913658082558</v>
      </c>
      <c r="AP188" s="89">
        <f t="shared" si="46"/>
        <v>-452535.77759317332</v>
      </c>
      <c r="AQ188" s="182"/>
      <c r="AR188" s="182"/>
      <c r="AS188" s="183"/>
      <c r="AT188" s="183"/>
      <c r="AU188" s="183"/>
      <c r="AV188" s="183"/>
      <c r="AW188" s="186">
        <f t="shared" si="36"/>
        <v>-452535.77759317332</v>
      </c>
      <c r="AX188" s="223">
        <f t="shared" si="34"/>
        <v>-603381.03679089772</v>
      </c>
      <c r="AY188" s="221"/>
      <c r="AZ188" s="221"/>
      <c r="BA188" s="221"/>
    </row>
    <row r="189" spans="1:53" s="222" customFormat="1" ht="25.5">
      <c r="A189" s="77">
        <f t="shared" si="37"/>
        <v>180</v>
      </c>
      <c r="B189" s="78" t="s">
        <v>333</v>
      </c>
      <c r="C189" s="79" t="s">
        <v>334</v>
      </c>
      <c r="D189" s="78" t="s">
        <v>57</v>
      </c>
      <c r="E189" s="80" t="s">
        <v>58</v>
      </c>
      <c r="F189" s="78"/>
      <c r="G189" s="78"/>
      <c r="H189" s="81">
        <v>43525</v>
      </c>
      <c r="I189" s="81">
        <v>43525</v>
      </c>
      <c r="J189" s="82">
        <v>5000000</v>
      </c>
      <c r="K189" s="117">
        <v>7.7499999999999999E-2</v>
      </c>
      <c r="L189" s="85">
        <v>0.9</v>
      </c>
      <c r="M189" s="83">
        <v>9</v>
      </c>
      <c r="N189" s="85">
        <v>12</v>
      </c>
      <c r="O189" s="83">
        <f t="shared" si="40"/>
        <v>261562.5</v>
      </c>
      <c r="P189" s="83">
        <f t="shared" si="41"/>
        <v>3033280.3294915948</v>
      </c>
      <c r="Q189" s="83">
        <f t="shared" si="42"/>
        <v>158678.47723652906</v>
      </c>
      <c r="R189" s="83">
        <f t="shared" si="43"/>
        <v>102884.02276347094</v>
      </c>
      <c r="S189" s="84">
        <v>0.606656065898319</v>
      </c>
      <c r="T189" s="118">
        <v>5000000</v>
      </c>
      <c r="U189" s="94">
        <v>290625</v>
      </c>
      <c r="V189" s="83">
        <f t="shared" si="38"/>
        <v>-1966719.6705084052</v>
      </c>
      <c r="W189" s="83">
        <f t="shared" si="38"/>
        <v>-131946.52276347094</v>
      </c>
      <c r="X189" s="86">
        <f t="shared" si="39"/>
        <v>-1966719.6705084052</v>
      </c>
      <c r="Y189" s="86">
        <f t="shared" si="39"/>
        <v>-131946.52276347094</v>
      </c>
      <c r="Z189" s="86"/>
      <c r="AA189" s="86"/>
      <c r="AB189" s="86">
        <f t="shared" si="44"/>
        <v>-131946.52276347094</v>
      </c>
      <c r="AC189" s="87">
        <v>-2270047.7034575646</v>
      </c>
      <c r="AD189" s="87">
        <f t="shared" si="45"/>
        <v>-2522275.2260639607</v>
      </c>
      <c r="AE189" s="87"/>
      <c r="AF189" s="88"/>
      <c r="AG189" s="88"/>
      <c r="AH189" s="88"/>
      <c r="AI189" s="88"/>
      <c r="AJ189" s="88"/>
      <c r="AK189" s="130">
        <f t="shared" si="35"/>
        <v>-131946.52276347094</v>
      </c>
      <c r="AL189" s="130"/>
      <c r="AM189" s="130"/>
      <c r="AN189" s="130"/>
      <c r="AO189" s="130">
        <f t="shared" si="33"/>
        <v>-131946.52276347094</v>
      </c>
      <c r="AP189" s="89">
        <f t="shared" si="46"/>
        <v>-2837559.6293219561</v>
      </c>
      <c r="AQ189" s="182"/>
      <c r="AR189" s="182"/>
      <c r="AS189" s="183"/>
      <c r="AT189" s="183"/>
      <c r="AU189" s="183"/>
      <c r="AV189" s="183"/>
      <c r="AW189" s="186">
        <f t="shared" si="36"/>
        <v>-2837559.6293219561</v>
      </c>
      <c r="AX189" s="223">
        <f t="shared" si="34"/>
        <v>-3783412.8390959408</v>
      </c>
      <c r="AY189" s="221"/>
      <c r="AZ189" s="221"/>
      <c r="BA189" s="221"/>
    </row>
    <row r="190" spans="1:53" s="222" customFormat="1" ht="25.5">
      <c r="A190" s="77">
        <f t="shared" si="37"/>
        <v>181</v>
      </c>
      <c r="B190" s="78" t="s">
        <v>335</v>
      </c>
      <c r="C190" s="79" t="s">
        <v>336</v>
      </c>
      <c r="D190" s="78" t="s">
        <v>57</v>
      </c>
      <c r="E190" s="80" t="s">
        <v>85</v>
      </c>
      <c r="F190" s="78"/>
      <c r="G190" s="78"/>
      <c r="H190" s="81">
        <v>43497</v>
      </c>
      <c r="I190" s="81">
        <v>43497</v>
      </c>
      <c r="J190" s="82">
        <v>15000000</v>
      </c>
      <c r="K190" s="117">
        <v>7.7499999999999999E-2</v>
      </c>
      <c r="L190" s="85">
        <v>0.9</v>
      </c>
      <c r="M190" s="83">
        <v>10</v>
      </c>
      <c r="N190" s="85">
        <v>12</v>
      </c>
      <c r="O190" s="83">
        <f t="shared" si="40"/>
        <v>871875</v>
      </c>
      <c r="P190" s="83">
        <f t="shared" si="41"/>
        <v>9099840.9884747844</v>
      </c>
      <c r="Q190" s="83">
        <f t="shared" si="42"/>
        <v>528928.25745509693</v>
      </c>
      <c r="R190" s="83">
        <f t="shared" si="43"/>
        <v>342946.74254490307</v>
      </c>
      <c r="S190" s="84">
        <v>0.606656065898319</v>
      </c>
      <c r="T190" s="118">
        <v>15000000</v>
      </c>
      <c r="U190" s="94">
        <v>871875</v>
      </c>
      <c r="V190" s="83">
        <f t="shared" si="38"/>
        <v>-5900159.0115252156</v>
      </c>
      <c r="W190" s="83">
        <f t="shared" si="38"/>
        <v>-342946.74254490307</v>
      </c>
      <c r="X190" s="86">
        <f t="shared" si="39"/>
        <v>-5900159.0115252156</v>
      </c>
      <c r="Y190" s="86">
        <f t="shared" si="39"/>
        <v>-342946.74254490307</v>
      </c>
      <c r="Z190" s="86"/>
      <c r="AA190" s="86"/>
      <c r="AB190" s="86">
        <f t="shared" si="44"/>
        <v>-342946.74254490307</v>
      </c>
      <c r="AC190" s="87">
        <v>-5900159.0115252137</v>
      </c>
      <c r="AD190" s="87">
        <f t="shared" si="45"/>
        <v>-6555732.2350280145</v>
      </c>
      <c r="AE190" s="87"/>
      <c r="AF190" s="88"/>
      <c r="AG190" s="88"/>
      <c r="AH190" s="88"/>
      <c r="AI190" s="88"/>
      <c r="AJ190" s="88"/>
      <c r="AK190" s="130">
        <f t="shared" si="35"/>
        <v>-342946.74254490307</v>
      </c>
      <c r="AL190" s="130"/>
      <c r="AM190" s="130"/>
      <c r="AN190" s="130"/>
      <c r="AO190" s="130">
        <f t="shared" si="33"/>
        <v>-342946.74254490307</v>
      </c>
      <c r="AP190" s="89">
        <f t="shared" si="46"/>
        <v>-7375198.7644065171</v>
      </c>
      <c r="AQ190" s="182"/>
      <c r="AR190" s="182"/>
      <c r="AS190" s="183"/>
      <c r="AT190" s="183"/>
      <c r="AU190" s="183"/>
      <c r="AV190" s="183"/>
      <c r="AW190" s="186">
        <f t="shared" si="36"/>
        <v>-7375198.7644065171</v>
      </c>
      <c r="AX190" s="223">
        <f t="shared" si="34"/>
        <v>-9833598.3525420222</v>
      </c>
      <c r="AY190" s="221"/>
      <c r="AZ190" s="221"/>
      <c r="BA190" s="221"/>
    </row>
    <row r="191" spans="1:53" s="222" customFormat="1" ht="25.5">
      <c r="A191" s="77">
        <f t="shared" si="37"/>
        <v>182</v>
      </c>
      <c r="B191" s="78" t="s">
        <v>337</v>
      </c>
      <c r="C191" s="79" t="s">
        <v>338</v>
      </c>
      <c r="D191" s="78" t="s">
        <v>57</v>
      </c>
      <c r="E191" s="80" t="s">
        <v>58</v>
      </c>
      <c r="F191" s="78"/>
      <c r="G191" s="78"/>
      <c r="H191" s="81">
        <v>43497</v>
      </c>
      <c r="I191" s="81">
        <v>43497</v>
      </c>
      <c r="J191" s="82">
        <v>7000000</v>
      </c>
      <c r="K191" s="117">
        <v>7.7499999999999999E-2</v>
      </c>
      <c r="L191" s="85">
        <v>0.9</v>
      </c>
      <c r="M191" s="83">
        <v>10</v>
      </c>
      <c r="N191" s="85">
        <v>12</v>
      </c>
      <c r="O191" s="83">
        <f t="shared" si="40"/>
        <v>406875</v>
      </c>
      <c r="P191" s="83">
        <f t="shared" si="41"/>
        <v>4246592.4612882333</v>
      </c>
      <c r="Q191" s="83">
        <f t="shared" si="42"/>
        <v>246833.18681237855</v>
      </c>
      <c r="R191" s="83">
        <f t="shared" si="43"/>
        <v>160041.81318762145</v>
      </c>
      <c r="S191" s="84">
        <v>0.606656065898319</v>
      </c>
      <c r="T191" s="83"/>
      <c r="U191" s="85"/>
      <c r="V191" s="83">
        <f t="shared" si="38"/>
        <v>4246592.4612882333</v>
      </c>
      <c r="W191" s="83">
        <f t="shared" si="38"/>
        <v>246833.18681237855</v>
      </c>
      <c r="X191" s="86">
        <f t="shared" si="39"/>
        <v>4246592.4612882333</v>
      </c>
      <c r="Y191" s="86">
        <f t="shared" si="39"/>
        <v>246833.18681237855</v>
      </c>
      <c r="Z191" s="86">
        <f>352586.25-Z192</f>
        <v>246833.19</v>
      </c>
      <c r="AA191" s="86"/>
      <c r="AB191" s="86">
        <f t="shared" si="44"/>
        <v>-3.1876214488875121E-3</v>
      </c>
      <c r="AC191" s="87">
        <v>560.65898318961263</v>
      </c>
      <c r="AD191" s="87">
        <f t="shared" si="45"/>
        <v>-6.0934221245161527E-2</v>
      </c>
      <c r="AE191" s="87"/>
      <c r="AF191" s="88"/>
      <c r="AG191" s="88"/>
      <c r="AH191" s="88"/>
      <c r="AI191" s="88"/>
      <c r="AJ191" s="88"/>
      <c r="AK191" s="130">
        <f t="shared" si="35"/>
        <v>-3.1876214488875121E-3</v>
      </c>
      <c r="AL191" s="130"/>
      <c r="AM191" s="130"/>
      <c r="AN191" s="130"/>
      <c r="AO191" s="130">
        <f t="shared" si="33"/>
        <v>-3.1876214488875121E-3</v>
      </c>
      <c r="AP191" s="89">
        <f t="shared" si="46"/>
        <v>-6.8550998900806709E-2</v>
      </c>
      <c r="AQ191" s="182"/>
      <c r="AR191" s="182"/>
      <c r="AS191" s="183"/>
      <c r="AT191" s="183"/>
      <c r="AU191" s="183"/>
      <c r="AV191" s="183"/>
      <c r="AW191" s="186">
        <f t="shared" si="36"/>
        <v>-6.8550998900806709E-2</v>
      </c>
      <c r="AX191" s="223">
        <f t="shared" si="34"/>
        <v>-9.1401331867742283E-2</v>
      </c>
      <c r="AY191" s="221"/>
      <c r="AZ191" s="221"/>
      <c r="BA191" s="221"/>
    </row>
    <row r="192" spans="1:53" s="222" customFormat="1" ht="25.5">
      <c r="A192" s="77">
        <f t="shared" si="37"/>
        <v>183</v>
      </c>
      <c r="B192" s="78" t="s">
        <v>337</v>
      </c>
      <c r="C192" s="79" t="s">
        <v>338</v>
      </c>
      <c r="D192" s="78" t="s">
        <v>57</v>
      </c>
      <c r="E192" s="80" t="s">
        <v>58</v>
      </c>
      <c r="F192" s="78"/>
      <c r="G192" s="78"/>
      <c r="H192" s="81">
        <v>43497</v>
      </c>
      <c r="I192" s="81">
        <v>43497</v>
      </c>
      <c r="J192" s="82">
        <v>3000000</v>
      </c>
      <c r="K192" s="117">
        <v>7.7499999999999999E-2</v>
      </c>
      <c r="L192" s="85">
        <v>0.9</v>
      </c>
      <c r="M192" s="83">
        <v>10</v>
      </c>
      <c r="N192" s="85">
        <v>12</v>
      </c>
      <c r="O192" s="83">
        <f t="shared" si="40"/>
        <v>174375</v>
      </c>
      <c r="P192" s="83">
        <f t="shared" si="41"/>
        <v>1819968.197694957</v>
      </c>
      <c r="Q192" s="83">
        <f t="shared" si="42"/>
        <v>105785.65149101937</v>
      </c>
      <c r="R192" s="83">
        <f t="shared" si="43"/>
        <v>68589.348508980635</v>
      </c>
      <c r="S192" s="84">
        <v>0.606656065898319</v>
      </c>
      <c r="T192" s="83"/>
      <c r="U192" s="85"/>
      <c r="V192" s="83">
        <f t="shared" si="38"/>
        <v>1819968.197694957</v>
      </c>
      <c r="W192" s="83">
        <f t="shared" si="38"/>
        <v>105785.65149101937</v>
      </c>
      <c r="X192" s="86">
        <f t="shared" si="39"/>
        <v>1819968.197694957</v>
      </c>
      <c r="Y192" s="86">
        <f t="shared" si="39"/>
        <v>105785.65149101937</v>
      </c>
      <c r="Z192" s="86">
        <v>105753.06</v>
      </c>
      <c r="AA192" s="86"/>
      <c r="AB192" s="86">
        <f t="shared" si="44"/>
        <v>32.591491019367822</v>
      </c>
      <c r="AC192" s="87">
        <v>0</v>
      </c>
      <c r="AD192" s="87">
        <f t="shared" si="45"/>
        <v>623.01535998791542</v>
      </c>
      <c r="AE192" s="87"/>
      <c r="AF192" s="88"/>
      <c r="AG192" s="88"/>
      <c r="AH192" s="88"/>
      <c r="AI192" s="88"/>
      <c r="AJ192" s="88"/>
      <c r="AK192" s="130">
        <f t="shared" si="35"/>
        <v>32.591491019367822</v>
      </c>
      <c r="AL192" s="130"/>
      <c r="AM192" s="130"/>
      <c r="AN192" s="130"/>
      <c r="AO192" s="130">
        <f t="shared" si="33"/>
        <v>32.591491019367822</v>
      </c>
      <c r="AP192" s="119">
        <f t="shared" si="46"/>
        <v>700.89227998640479</v>
      </c>
      <c r="AQ192" s="182"/>
      <c r="AR192" s="182"/>
      <c r="AS192" s="183"/>
      <c r="AT192" s="183"/>
      <c r="AU192" s="183"/>
      <c r="AV192" s="183"/>
      <c r="AW192" s="186">
        <f t="shared" si="36"/>
        <v>700.89227998640479</v>
      </c>
      <c r="AX192" s="186">
        <f t="shared" si="34"/>
        <v>934.5230399818729</v>
      </c>
      <c r="AY192" s="221"/>
      <c r="AZ192" s="221"/>
      <c r="BA192" s="221"/>
    </row>
    <row r="193" spans="1:53" s="230" customFormat="1" ht="76.5">
      <c r="A193" s="120">
        <f t="shared" si="37"/>
        <v>184</v>
      </c>
      <c r="B193" s="80" t="s">
        <v>339</v>
      </c>
      <c r="C193" s="121" t="s">
        <v>340</v>
      </c>
      <c r="D193" s="80" t="s">
        <v>57</v>
      </c>
      <c r="E193" s="80" t="s">
        <v>58</v>
      </c>
      <c r="F193" s="80"/>
      <c r="G193" s="80"/>
      <c r="H193" s="122">
        <v>43497</v>
      </c>
      <c r="I193" s="81" t="s">
        <v>112</v>
      </c>
      <c r="J193" s="123">
        <v>400000</v>
      </c>
      <c r="K193" s="124">
        <v>7.7499999999999999E-2</v>
      </c>
      <c r="L193" s="125">
        <v>0.9</v>
      </c>
      <c r="M193" s="126">
        <v>10</v>
      </c>
      <c r="N193" s="125">
        <v>12</v>
      </c>
      <c r="O193" s="126">
        <f t="shared" si="40"/>
        <v>23250</v>
      </c>
      <c r="P193" s="126">
        <f t="shared" si="41"/>
        <v>242662.4263593276</v>
      </c>
      <c r="Q193" s="126">
        <f t="shared" si="42"/>
        <v>14104.753532135917</v>
      </c>
      <c r="R193" s="126">
        <f t="shared" si="43"/>
        <v>9145.2464678640827</v>
      </c>
      <c r="S193" s="127">
        <v>0.606656065898319</v>
      </c>
      <c r="T193" s="126"/>
      <c r="U193" s="125"/>
      <c r="V193" s="126">
        <f t="shared" si="38"/>
        <v>242662.4263593276</v>
      </c>
      <c r="W193" s="126">
        <f t="shared" si="38"/>
        <v>14104.753532135917</v>
      </c>
      <c r="X193" s="128">
        <f t="shared" si="39"/>
        <v>242662.4263593276</v>
      </c>
      <c r="Y193" s="128">
        <f t="shared" si="39"/>
        <v>14104.753532135917</v>
      </c>
      <c r="Z193" s="128"/>
      <c r="AA193" s="128"/>
      <c r="AB193" s="128">
        <f t="shared" si="44"/>
        <v>14104.753532135917</v>
      </c>
      <c r="AC193" s="129">
        <v>242662.42635932763</v>
      </c>
      <c r="AD193" s="129">
        <f t="shared" si="45"/>
        <v>269624.91817703069</v>
      </c>
      <c r="AE193" s="129"/>
      <c r="AF193" s="88">
        <v>-14104.75</v>
      </c>
      <c r="AG193" s="130"/>
      <c r="AH193" s="130"/>
      <c r="AI193" s="130"/>
      <c r="AJ193" s="130"/>
      <c r="AK193" s="130">
        <f t="shared" si="35"/>
        <v>3.532135917339474E-3</v>
      </c>
      <c r="AL193" s="130"/>
      <c r="AM193" s="130"/>
      <c r="AN193" s="130"/>
      <c r="AO193" s="130">
        <f t="shared" si="33"/>
        <v>3.532135917339474E-3</v>
      </c>
      <c r="AP193" s="119">
        <f t="shared" si="46"/>
        <v>303328.0329491595</v>
      </c>
      <c r="AQ193" s="119"/>
      <c r="AR193" s="182">
        <v>-303328.03000000003</v>
      </c>
      <c r="AS193" s="185"/>
      <c r="AT193" s="185"/>
      <c r="AU193" s="185"/>
      <c r="AV193" s="185"/>
      <c r="AW193" s="186">
        <f t="shared" si="36"/>
        <v>2.9491594759747386E-3</v>
      </c>
      <c r="AX193" s="186">
        <f t="shared" si="34"/>
        <v>0.10127988293446522</v>
      </c>
      <c r="AY193" s="229"/>
      <c r="AZ193" s="229"/>
      <c r="BA193" s="229"/>
    </row>
    <row r="194" spans="1:53" s="230" customFormat="1" ht="76.5">
      <c r="A194" s="120">
        <f t="shared" si="37"/>
        <v>185</v>
      </c>
      <c r="B194" s="80" t="s">
        <v>341</v>
      </c>
      <c r="C194" s="121" t="s">
        <v>342</v>
      </c>
      <c r="D194" s="80" t="s">
        <v>57</v>
      </c>
      <c r="E194" s="80" t="s">
        <v>58</v>
      </c>
      <c r="F194" s="80"/>
      <c r="G194" s="80"/>
      <c r="H194" s="122">
        <v>43556</v>
      </c>
      <c r="I194" s="81" t="s">
        <v>112</v>
      </c>
      <c r="J194" s="123">
        <v>1000000</v>
      </c>
      <c r="K194" s="124">
        <v>7.7499999999999999E-2</v>
      </c>
      <c r="L194" s="125">
        <v>0.9</v>
      </c>
      <c r="M194" s="126">
        <v>8</v>
      </c>
      <c r="N194" s="125">
        <v>12</v>
      </c>
      <c r="O194" s="126">
        <f t="shared" si="40"/>
        <v>46500</v>
      </c>
      <c r="P194" s="126">
        <f t="shared" si="41"/>
        <v>606656.06589831901</v>
      </c>
      <c r="Q194" s="126">
        <f t="shared" si="42"/>
        <v>28209.507064271835</v>
      </c>
      <c r="R194" s="126">
        <f t="shared" si="43"/>
        <v>18290.492935728165</v>
      </c>
      <c r="S194" s="127">
        <v>0.606656065898319</v>
      </c>
      <c r="T194" s="126"/>
      <c r="U194" s="125"/>
      <c r="V194" s="126">
        <f t="shared" si="38"/>
        <v>606656.06589831901</v>
      </c>
      <c r="W194" s="126">
        <f t="shared" si="38"/>
        <v>28209.507064271835</v>
      </c>
      <c r="X194" s="128">
        <f t="shared" si="39"/>
        <v>606656.06589831901</v>
      </c>
      <c r="Y194" s="128">
        <f t="shared" si="39"/>
        <v>28209.507064271835</v>
      </c>
      <c r="Z194" s="128"/>
      <c r="AA194" s="128"/>
      <c r="AB194" s="128">
        <f t="shared" si="44"/>
        <v>28209.507064271835</v>
      </c>
      <c r="AC194" s="129">
        <v>485324.85271865525</v>
      </c>
      <c r="AD194" s="129">
        <f t="shared" si="45"/>
        <v>539249.83635406138</v>
      </c>
      <c r="AE194" s="129"/>
      <c r="AF194" s="88">
        <v>-28209.51</v>
      </c>
      <c r="AG194" s="130"/>
      <c r="AH194" s="130"/>
      <c r="AI194" s="130"/>
      <c r="AJ194" s="130"/>
      <c r="AK194" s="130">
        <f t="shared" si="35"/>
        <v>-2.9357281637203414E-3</v>
      </c>
      <c r="AL194" s="130"/>
      <c r="AM194" s="130"/>
      <c r="AN194" s="130"/>
      <c r="AO194" s="130">
        <f t="shared" si="33"/>
        <v>-2.9357281637203414E-3</v>
      </c>
      <c r="AP194" s="119">
        <f t="shared" si="46"/>
        <v>606656.06589831901</v>
      </c>
      <c r="AQ194" s="119"/>
      <c r="AR194" s="182">
        <v>-606656.06999999995</v>
      </c>
      <c r="AS194" s="185"/>
      <c r="AT194" s="185"/>
      <c r="AU194" s="185"/>
      <c r="AV194" s="185"/>
      <c r="AW194" s="186">
        <f t="shared" si="36"/>
        <v>-4.1016809409484267E-3</v>
      </c>
      <c r="AX194" s="223">
        <f t="shared" si="34"/>
        <v>-8.4178585339651363E-2</v>
      </c>
      <c r="AY194" s="229"/>
      <c r="AZ194" s="229"/>
      <c r="BA194" s="229"/>
    </row>
    <row r="195" spans="1:53" s="222" customFormat="1" ht="25.5">
      <c r="A195" s="77">
        <f t="shared" si="37"/>
        <v>186</v>
      </c>
      <c r="B195" s="78" t="s">
        <v>343</v>
      </c>
      <c r="C195" s="79" t="s">
        <v>344</v>
      </c>
      <c r="D195" s="78" t="s">
        <v>57</v>
      </c>
      <c r="E195" s="80" t="s">
        <v>58</v>
      </c>
      <c r="F195" s="78"/>
      <c r="G195" s="78"/>
      <c r="H195" s="81">
        <v>43525</v>
      </c>
      <c r="I195" s="81">
        <v>43525</v>
      </c>
      <c r="J195" s="82">
        <v>3000000</v>
      </c>
      <c r="K195" s="117">
        <v>7.7499999999999999E-2</v>
      </c>
      <c r="L195" s="85">
        <v>0.9</v>
      </c>
      <c r="M195" s="83">
        <v>9</v>
      </c>
      <c r="N195" s="85">
        <v>12</v>
      </c>
      <c r="O195" s="83">
        <f t="shared" si="40"/>
        <v>156937.5</v>
      </c>
      <c r="P195" s="83">
        <f t="shared" si="41"/>
        <v>1819968.197694957</v>
      </c>
      <c r="Q195" s="83">
        <f t="shared" si="42"/>
        <v>95207.086341917442</v>
      </c>
      <c r="R195" s="83">
        <f t="shared" si="43"/>
        <v>61730.413658082558</v>
      </c>
      <c r="S195" s="84">
        <v>0.606656065898319</v>
      </c>
      <c r="T195" s="83"/>
      <c r="U195" s="85"/>
      <c r="V195" s="83">
        <f t="shared" si="38"/>
        <v>1819968.197694957</v>
      </c>
      <c r="W195" s="83">
        <f t="shared" si="38"/>
        <v>95207.086341917442</v>
      </c>
      <c r="X195" s="86">
        <f t="shared" si="39"/>
        <v>1819968.197694957</v>
      </c>
      <c r="Y195" s="86">
        <f t="shared" si="39"/>
        <v>95207.086341917442</v>
      </c>
      <c r="Z195" s="86"/>
      <c r="AA195" s="86">
        <v>94879.11</v>
      </c>
      <c r="AB195" s="86">
        <f t="shared" si="44"/>
        <v>327.97634191744146</v>
      </c>
      <c r="AC195" s="87">
        <v>-862028.62207453861</v>
      </c>
      <c r="AD195" s="87">
        <f t="shared" si="45"/>
        <v>6269.5597021255244</v>
      </c>
      <c r="AE195" s="87"/>
      <c r="AF195" s="88"/>
      <c r="AG195" s="88"/>
      <c r="AH195" s="88"/>
      <c r="AI195" s="88"/>
      <c r="AJ195" s="88"/>
      <c r="AK195" s="130">
        <f t="shared" si="35"/>
        <v>327.97634191744146</v>
      </c>
      <c r="AL195" s="130"/>
      <c r="AM195" s="130"/>
      <c r="AN195" s="130"/>
      <c r="AO195" s="130">
        <f t="shared" si="33"/>
        <v>327.97634191744146</v>
      </c>
      <c r="AP195" s="119">
        <f t="shared" si="46"/>
        <v>7053.2546648912157</v>
      </c>
      <c r="AQ195" s="182"/>
      <c r="AR195" s="182"/>
      <c r="AS195" s="183"/>
      <c r="AT195" s="183"/>
      <c r="AU195" s="183"/>
      <c r="AV195" s="183"/>
      <c r="AW195" s="186">
        <f t="shared" si="36"/>
        <v>7053.2546648912157</v>
      </c>
      <c r="AX195" s="186">
        <f t="shared" si="34"/>
        <v>9404.339553188287</v>
      </c>
      <c r="AY195" s="221"/>
      <c r="AZ195" s="221"/>
      <c r="BA195" s="221"/>
    </row>
    <row r="196" spans="1:53" s="76" customFormat="1" ht="25.5">
      <c r="A196" s="54">
        <f t="shared" si="37"/>
        <v>187</v>
      </c>
      <c r="B196" s="55" t="s">
        <v>345</v>
      </c>
      <c r="C196" s="56" t="s">
        <v>346</v>
      </c>
      <c r="D196" s="55" t="s">
        <v>57</v>
      </c>
      <c r="E196" s="55" t="s">
        <v>58</v>
      </c>
      <c r="F196" s="55"/>
      <c r="G196" s="55"/>
      <c r="H196" s="58">
        <v>43497</v>
      </c>
      <c r="I196" s="59" t="s">
        <v>81</v>
      </c>
      <c r="J196" s="60">
        <v>3500000</v>
      </c>
      <c r="K196" s="61">
        <v>7.7499999999999999E-2</v>
      </c>
      <c r="L196" s="62">
        <v>0.9</v>
      </c>
      <c r="M196" s="63">
        <v>10</v>
      </c>
      <c r="N196" s="62">
        <v>12</v>
      </c>
      <c r="O196" s="63">
        <f t="shared" si="40"/>
        <v>203437.5</v>
      </c>
      <c r="P196" s="63">
        <f t="shared" si="41"/>
        <v>2123296.2306441166</v>
      </c>
      <c r="Q196" s="63">
        <f t="shared" si="42"/>
        <v>123416.59340618928</v>
      </c>
      <c r="R196" s="63">
        <f t="shared" si="43"/>
        <v>80020.906593810723</v>
      </c>
      <c r="S196" s="64">
        <v>0.606656065898319</v>
      </c>
      <c r="T196" s="63"/>
      <c r="U196" s="62"/>
      <c r="V196" s="63">
        <f t="shared" si="38"/>
        <v>2123296.2306441166</v>
      </c>
      <c r="W196" s="63">
        <f t="shared" si="38"/>
        <v>123416.59340618928</v>
      </c>
      <c r="X196" s="65">
        <f t="shared" si="39"/>
        <v>2123296.2306441166</v>
      </c>
      <c r="Y196" s="65">
        <f t="shared" si="39"/>
        <v>123416.59340618928</v>
      </c>
      <c r="Z196" s="65"/>
      <c r="AA196" s="65"/>
      <c r="AB196" s="65">
        <f t="shared" si="44"/>
        <v>123416.59340618928</v>
      </c>
      <c r="AC196" s="66">
        <v>4246592.4612882333</v>
      </c>
      <c r="AD196" s="66">
        <f t="shared" si="45"/>
        <v>2359218.0340490183</v>
      </c>
      <c r="AE196" s="66"/>
      <c r="AF196" s="67"/>
      <c r="AG196" s="67"/>
      <c r="AH196" s="68"/>
      <c r="AI196" s="68"/>
      <c r="AJ196" s="69"/>
      <c r="AK196" s="67">
        <f t="shared" si="35"/>
        <v>123416.59340618928</v>
      </c>
      <c r="AL196" s="67"/>
      <c r="AM196" s="67"/>
      <c r="AN196" s="67"/>
      <c r="AO196" s="67">
        <f t="shared" si="33"/>
        <v>123416.59340618928</v>
      </c>
      <c r="AP196" s="70">
        <f t="shared" si="46"/>
        <v>2654120.2883051457</v>
      </c>
      <c r="AQ196" s="70"/>
      <c r="AR196" s="70"/>
      <c r="AS196" s="71"/>
      <c r="AT196" s="72"/>
      <c r="AU196" s="72"/>
      <c r="AV196" s="73"/>
      <c r="AW196" s="74">
        <f t="shared" si="36"/>
        <v>2654120.2883051457</v>
      </c>
      <c r="AX196" s="74">
        <f t="shared" si="34"/>
        <v>3538827.0510735274</v>
      </c>
      <c r="AY196" s="75"/>
      <c r="AZ196" s="75"/>
      <c r="BA196" s="75"/>
    </row>
    <row r="197" spans="1:53" s="76" customFormat="1" ht="25.5">
      <c r="A197" s="54">
        <f t="shared" si="37"/>
        <v>188</v>
      </c>
      <c r="B197" s="55" t="s">
        <v>345</v>
      </c>
      <c r="C197" s="56" t="s">
        <v>346</v>
      </c>
      <c r="D197" s="55" t="s">
        <v>57</v>
      </c>
      <c r="E197" s="55" t="s">
        <v>58</v>
      </c>
      <c r="F197" s="55"/>
      <c r="G197" s="55"/>
      <c r="H197" s="58">
        <v>43497</v>
      </c>
      <c r="I197" s="59" t="s">
        <v>81</v>
      </c>
      <c r="J197" s="60">
        <v>3500000</v>
      </c>
      <c r="K197" s="61">
        <v>7.7499999999999999E-2</v>
      </c>
      <c r="L197" s="62">
        <v>0.9</v>
      </c>
      <c r="M197" s="63">
        <v>10</v>
      </c>
      <c r="N197" s="62">
        <v>12</v>
      </c>
      <c r="O197" s="63">
        <f t="shared" si="40"/>
        <v>203437.5</v>
      </c>
      <c r="P197" s="63">
        <f t="shared" si="41"/>
        <v>2123296.2306441166</v>
      </c>
      <c r="Q197" s="63">
        <f t="shared" si="42"/>
        <v>123416.59340618928</v>
      </c>
      <c r="R197" s="63">
        <f t="shared" si="43"/>
        <v>80020.906593810723</v>
      </c>
      <c r="S197" s="64">
        <v>0.606656065898319</v>
      </c>
      <c r="T197" s="63"/>
      <c r="U197" s="62"/>
      <c r="V197" s="63">
        <f t="shared" si="38"/>
        <v>2123296.2306441166</v>
      </c>
      <c r="W197" s="63">
        <f t="shared" si="38"/>
        <v>123416.59340618928</v>
      </c>
      <c r="X197" s="65">
        <f t="shared" si="39"/>
        <v>2123296.2306441166</v>
      </c>
      <c r="Y197" s="65">
        <f t="shared" si="39"/>
        <v>123416.59340618928</v>
      </c>
      <c r="Z197" s="65"/>
      <c r="AA197" s="65"/>
      <c r="AB197" s="65">
        <f t="shared" si="44"/>
        <v>123416.59340618928</v>
      </c>
      <c r="AC197" s="66">
        <v>0</v>
      </c>
      <c r="AD197" s="66">
        <f t="shared" si="45"/>
        <v>2359218.0340490183</v>
      </c>
      <c r="AE197" s="66"/>
      <c r="AF197" s="67"/>
      <c r="AG197" s="67"/>
      <c r="AH197" s="68"/>
      <c r="AI197" s="68"/>
      <c r="AJ197" s="69"/>
      <c r="AK197" s="67">
        <f t="shared" si="35"/>
        <v>123416.59340618928</v>
      </c>
      <c r="AL197" s="67"/>
      <c r="AM197" s="67"/>
      <c r="AN197" s="67"/>
      <c r="AO197" s="67">
        <f t="shared" si="33"/>
        <v>123416.59340618928</v>
      </c>
      <c r="AP197" s="70">
        <f t="shared" si="46"/>
        <v>2654120.2883051457</v>
      </c>
      <c r="AQ197" s="70"/>
      <c r="AR197" s="70"/>
      <c r="AS197" s="71"/>
      <c r="AT197" s="72"/>
      <c r="AU197" s="72"/>
      <c r="AV197" s="73"/>
      <c r="AW197" s="74">
        <f t="shared" si="36"/>
        <v>2654120.2883051457</v>
      </c>
      <c r="AX197" s="74">
        <f t="shared" si="34"/>
        <v>3538827.0510735274</v>
      </c>
      <c r="AY197" s="75"/>
      <c r="AZ197" s="75"/>
      <c r="BA197" s="75"/>
    </row>
    <row r="198" spans="1:53" s="222" customFormat="1" ht="25.5">
      <c r="A198" s="77">
        <f t="shared" si="37"/>
        <v>189</v>
      </c>
      <c r="B198" s="78" t="s">
        <v>347</v>
      </c>
      <c r="C198" s="79" t="s">
        <v>348</v>
      </c>
      <c r="D198" s="78" t="s">
        <v>57</v>
      </c>
      <c r="E198" s="80" t="s">
        <v>85</v>
      </c>
      <c r="F198" s="78"/>
      <c r="G198" s="78"/>
      <c r="H198" s="81">
        <v>43497</v>
      </c>
      <c r="I198" s="81">
        <v>43497</v>
      </c>
      <c r="J198" s="82">
        <v>8000000</v>
      </c>
      <c r="K198" s="117">
        <v>7.7499999999999999E-2</v>
      </c>
      <c r="L198" s="85">
        <v>0.9</v>
      </c>
      <c r="M198" s="83">
        <v>10</v>
      </c>
      <c r="N198" s="85">
        <v>12</v>
      </c>
      <c r="O198" s="83">
        <f t="shared" si="40"/>
        <v>465000</v>
      </c>
      <c r="P198" s="83">
        <f t="shared" si="41"/>
        <v>4853248.5271865521</v>
      </c>
      <c r="Q198" s="83">
        <f t="shared" si="42"/>
        <v>282095.07064271835</v>
      </c>
      <c r="R198" s="83">
        <f t="shared" si="43"/>
        <v>182904.92935728165</v>
      </c>
      <c r="S198" s="84">
        <v>0.606656065898319</v>
      </c>
      <c r="T198" s="83"/>
      <c r="U198" s="85"/>
      <c r="V198" s="83">
        <f t="shared" si="38"/>
        <v>4853248.5271865521</v>
      </c>
      <c r="W198" s="83">
        <f t="shared" si="38"/>
        <v>282095.07064271835</v>
      </c>
      <c r="X198" s="86">
        <f t="shared" si="39"/>
        <v>4853248.5271865521</v>
      </c>
      <c r="Y198" s="86">
        <f>SUM(W198)-56875.88</f>
        <v>225219.19064271834</v>
      </c>
      <c r="Z198" s="86">
        <f>464999.99-Z199-Z200</f>
        <v>225219.17999999993</v>
      </c>
      <c r="AA198" s="86"/>
      <c r="AB198" s="86">
        <f t="shared" si="44"/>
        <v>1.0642718407325447E-2</v>
      </c>
      <c r="AC198" s="87">
        <v>1.1854261159896851E-2</v>
      </c>
      <c r="AD198" s="87">
        <f t="shared" si="45"/>
        <v>0.20344503526548047</v>
      </c>
      <c r="AE198" s="87"/>
      <c r="AF198" s="88"/>
      <c r="AG198" s="88"/>
      <c r="AH198" s="88"/>
      <c r="AI198" s="88"/>
      <c r="AJ198" s="88"/>
      <c r="AK198" s="130">
        <f t="shared" si="35"/>
        <v>1.0642718407325447E-2</v>
      </c>
      <c r="AL198" s="130"/>
      <c r="AM198" s="130"/>
      <c r="AN198" s="130"/>
      <c r="AO198" s="130">
        <f t="shared" si="33"/>
        <v>1.0642718407325447E-2</v>
      </c>
      <c r="AP198" s="119">
        <f t="shared" si="46"/>
        <v>0.22887566467366549</v>
      </c>
      <c r="AQ198" s="182"/>
      <c r="AR198" s="182"/>
      <c r="AS198" s="183"/>
      <c r="AT198" s="183"/>
      <c r="AU198" s="183"/>
      <c r="AV198" s="183"/>
      <c r="AW198" s="186">
        <f t="shared" si="36"/>
        <v>0.22887566467366549</v>
      </c>
      <c r="AX198" s="186">
        <f t="shared" si="34"/>
        <v>0.30516755289822067</v>
      </c>
      <c r="AY198" s="221"/>
      <c r="AZ198" s="221"/>
      <c r="BA198" s="221"/>
    </row>
    <row r="199" spans="1:53" s="222" customFormat="1" ht="25.5">
      <c r="A199" s="77">
        <f t="shared" si="37"/>
        <v>190</v>
      </c>
      <c r="B199" s="78" t="s">
        <v>347</v>
      </c>
      <c r="C199" s="79" t="s">
        <v>348</v>
      </c>
      <c r="D199" s="78" t="s">
        <v>105</v>
      </c>
      <c r="E199" s="80"/>
      <c r="F199" s="78"/>
      <c r="G199" s="78"/>
      <c r="H199" s="81">
        <v>43556</v>
      </c>
      <c r="I199" s="81">
        <v>43556</v>
      </c>
      <c r="J199" s="82">
        <v>6000000</v>
      </c>
      <c r="K199" s="117">
        <v>7.7499999999999999E-2</v>
      </c>
      <c r="L199" s="85">
        <v>0.9</v>
      </c>
      <c r="M199" s="83">
        <v>8</v>
      </c>
      <c r="N199" s="85">
        <v>12</v>
      </c>
      <c r="O199" s="83">
        <f t="shared" si="40"/>
        <v>279000</v>
      </c>
      <c r="P199" s="83">
        <f t="shared" si="41"/>
        <v>3639936.395389914</v>
      </c>
      <c r="Q199" s="83">
        <f t="shared" si="42"/>
        <v>169257.04238563101</v>
      </c>
      <c r="R199" s="83">
        <f t="shared" si="43"/>
        <v>109742.95761436899</v>
      </c>
      <c r="S199" s="84">
        <v>0.606656065898319</v>
      </c>
      <c r="T199" s="83"/>
      <c r="U199" s="85"/>
      <c r="V199" s="83">
        <f t="shared" si="38"/>
        <v>3639936.395389914</v>
      </c>
      <c r="W199" s="83">
        <f t="shared" si="38"/>
        <v>169257.04238563101</v>
      </c>
      <c r="X199" s="86">
        <f t="shared" si="39"/>
        <v>3639936.395389914</v>
      </c>
      <c r="Y199" s="86">
        <f t="shared" si="39"/>
        <v>169257.04238563101</v>
      </c>
      <c r="Z199" s="86">
        <v>169257.04</v>
      </c>
      <c r="AA199" s="86"/>
      <c r="AB199" s="86">
        <f t="shared" si="44"/>
        <v>2.385630999924615E-3</v>
      </c>
      <c r="AC199" s="87">
        <v>0</v>
      </c>
      <c r="AD199" s="87">
        <f t="shared" si="45"/>
        <v>4.5603459974664085E-2</v>
      </c>
      <c r="AE199" s="87"/>
      <c r="AF199" s="88"/>
      <c r="AG199" s="88"/>
      <c r="AH199" s="88"/>
      <c r="AI199" s="88"/>
      <c r="AJ199" s="88"/>
      <c r="AK199" s="130">
        <f t="shared" si="35"/>
        <v>2.385630999924615E-3</v>
      </c>
      <c r="AL199" s="130"/>
      <c r="AM199" s="130"/>
      <c r="AN199" s="130"/>
      <c r="AO199" s="130">
        <f t="shared" si="33"/>
        <v>2.385630999924615E-3</v>
      </c>
      <c r="AP199" s="119">
        <f t="shared" si="46"/>
        <v>5.1303892471497095E-2</v>
      </c>
      <c r="AQ199" s="182"/>
      <c r="AR199" s="182"/>
      <c r="AS199" s="183"/>
      <c r="AT199" s="183"/>
      <c r="AU199" s="183"/>
      <c r="AV199" s="183"/>
      <c r="AW199" s="186">
        <f t="shared" si="36"/>
        <v>5.1303892471497095E-2</v>
      </c>
      <c r="AX199" s="186">
        <f t="shared" si="34"/>
        <v>6.8405189961996127E-2</v>
      </c>
      <c r="AY199" s="221"/>
      <c r="AZ199" s="221"/>
      <c r="BA199" s="221"/>
    </row>
    <row r="200" spans="1:53" s="222" customFormat="1" ht="25.5">
      <c r="A200" s="77">
        <f t="shared" si="37"/>
        <v>191</v>
      </c>
      <c r="B200" s="78" t="s">
        <v>347</v>
      </c>
      <c r="C200" s="79" t="s">
        <v>348</v>
      </c>
      <c r="D200" s="78" t="s">
        <v>105</v>
      </c>
      <c r="E200" s="80"/>
      <c r="F200" s="78"/>
      <c r="G200" s="78"/>
      <c r="H200" s="81">
        <v>43739</v>
      </c>
      <c r="I200" s="81">
        <v>43739</v>
      </c>
      <c r="J200" s="82">
        <v>10000000</v>
      </c>
      <c r="K200" s="117">
        <v>7.7499999999999999E-2</v>
      </c>
      <c r="L200" s="85">
        <v>0.9</v>
      </c>
      <c r="M200" s="83">
        <v>2</v>
      </c>
      <c r="N200" s="85">
        <v>12</v>
      </c>
      <c r="O200" s="83">
        <f t="shared" si="40"/>
        <v>116250</v>
      </c>
      <c r="P200" s="83">
        <f t="shared" si="41"/>
        <v>6066560.6589831896</v>
      </c>
      <c r="Q200" s="83">
        <f t="shared" si="42"/>
        <v>70523.767660679572</v>
      </c>
      <c r="R200" s="83">
        <f t="shared" si="43"/>
        <v>45726.232339320428</v>
      </c>
      <c r="S200" s="84">
        <v>0.606656065898319</v>
      </c>
      <c r="T200" s="83"/>
      <c r="U200" s="85"/>
      <c r="V200" s="83">
        <f t="shared" si="38"/>
        <v>6066560.6589831896</v>
      </c>
      <c r="W200" s="83">
        <f t="shared" si="38"/>
        <v>70523.767660679572</v>
      </c>
      <c r="X200" s="86">
        <f t="shared" si="39"/>
        <v>6066560.6589831896</v>
      </c>
      <c r="Y200" s="86">
        <f t="shared" si="39"/>
        <v>70523.767660679572</v>
      </c>
      <c r="Z200" s="86">
        <v>70523.77</v>
      </c>
      <c r="AA200" s="86"/>
      <c r="AB200" s="86">
        <f t="shared" si="44"/>
        <v>-2.3393204319290817E-3</v>
      </c>
      <c r="AC200" s="87">
        <v>0</v>
      </c>
      <c r="AD200" s="87">
        <f t="shared" si="45"/>
        <v>-4.4718192247150901E-2</v>
      </c>
      <c r="AE200" s="87"/>
      <c r="AF200" s="88"/>
      <c r="AG200" s="88"/>
      <c r="AH200" s="88"/>
      <c r="AI200" s="88"/>
      <c r="AJ200" s="88"/>
      <c r="AK200" s="130">
        <f t="shared" si="35"/>
        <v>-2.3393204319290817E-3</v>
      </c>
      <c r="AL200" s="130"/>
      <c r="AM200" s="130"/>
      <c r="AN200" s="130"/>
      <c r="AO200" s="130">
        <f t="shared" si="33"/>
        <v>-2.3393204319290817E-3</v>
      </c>
      <c r="AP200" s="89">
        <f t="shared" si="46"/>
        <v>-5.0307966278044763E-2</v>
      </c>
      <c r="AQ200" s="182"/>
      <c r="AR200" s="182"/>
      <c r="AS200" s="183"/>
      <c r="AT200" s="183"/>
      <c r="AU200" s="183"/>
      <c r="AV200" s="183"/>
      <c r="AW200" s="186">
        <f t="shared" si="36"/>
        <v>-5.0307966278044763E-2</v>
      </c>
      <c r="AX200" s="223">
        <f t="shared" si="34"/>
        <v>-6.7077288370726351E-2</v>
      </c>
      <c r="AY200" s="221"/>
      <c r="AZ200" s="221"/>
      <c r="BA200" s="221"/>
    </row>
    <row r="201" spans="1:53" s="222" customFormat="1" ht="25.5">
      <c r="A201" s="77">
        <f t="shared" si="37"/>
        <v>192</v>
      </c>
      <c r="B201" s="78" t="s">
        <v>349</v>
      </c>
      <c r="C201" s="79" t="s">
        <v>350</v>
      </c>
      <c r="D201" s="78" t="s">
        <v>57</v>
      </c>
      <c r="E201" s="80"/>
      <c r="F201" s="78"/>
      <c r="G201" s="78"/>
      <c r="H201" s="81">
        <v>43497</v>
      </c>
      <c r="I201" s="81">
        <v>43497</v>
      </c>
      <c r="J201" s="82">
        <v>8000000</v>
      </c>
      <c r="K201" s="117">
        <v>7.7499999999999999E-2</v>
      </c>
      <c r="L201" s="85">
        <v>0.9</v>
      </c>
      <c r="M201" s="83">
        <v>10</v>
      </c>
      <c r="N201" s="85">
        <v>12</v>
      </c>
      <c r="O201" s="83">
        <f t="shared" si="40"/>
        <v>465000</v>
      </c>
      <c r="P201" s="83">
        <f t="shared" si="41"/>
        <v>4853248.5271865521</v>
      </c>
      <c r="Q201" s="83">
        <f t="shared" si="42"/>
        <v>282095.07064271835</v>
      </c>
      <c r="R201" s="83">
        <f t="shared" si="43"/>
        <v>182904.92935728165</v>
      </c>
      <c r="S201" s="84">
        <v>0.606656065898319</v>
      </c>
      <c r="T201" s="83"/>
      <c r="U201" s="85"/>
      <c r="V201" s="83">
        <f t="shared" si="38"/>
        <v>4853248.5271865521</v>
      </c>
      <c r="W201" s="83">
        <f t="shared" si="38"/>
        <v>282095.07064271835</v>
      </c>
      <c r="X201" s="86">
        <f t="shared" si="39"/>
        <v>4853248.5271865521</v>
      </c>
      <c r="Y201" s="86">
        <f>SUM(W201)-56875.88</f>
        <v>225219.19064271834</v>
      </c>
      <c r="Z201" s="86">
        <f>464999.99-Z202-Z203</f>
        <v>225219.18999999994</v>
      </c>
      <c r="AA201" s="86"/>
      <c r="AB201" s="86">
        <f t="shared" si="44"/>
        <v>6.4271839801222086E-4</v>
      </c>
      <c r="AC201" s="87">
        <v>1.1854261159896851E-2</v>
      </c>
      <c r="AD201" s="87">
        <f t="shared" si="45"/>
        <v>1.228613425112967E-2</v>
      </c>
      <c r="AE201" s="87"/>
      <c r="AF201" s="88"/>
      <c r="AG201" s="88"/>
      <c r="AH201" s="88"/>
      <c r="AI201" s="88"/>
      <c r="AJ201" s="88"/>
      <c r="AK201" s="130">
        <f t="shared" si="35"/>
        <v>6.4271839801222086E-4</v>
      </c>
      <c r="AL201" s="130"/>
      <c r="AM201" s="130"/>
      <c r="AN201" s="130"/>
      <c r="AO201" s="130">
        <f t="shared" ref="AO201:AO260" si="47">AK201-AL201-AM201-AN201</f>
        <v>6.4271839801222086E-4</v>
      </c>
      <c r="AP201" s="119">
        <f t="shared" si="46"/>
        <v>1.3821901032520879E-2</v>
      </c>
      <c r="AQ201" s="182"/>
      <c r="AR201" s="182"/>
      <c r="AS201" s="183"/>
      <c r="AT201" s="183"/>
      <c r="AU201" s="183"/>
      <c r="AV201" s="183"/>
      <c r="AW201" s="186">
        <f t="shared" si="36"/>
        <v>1.3821901032520879E-2</v>
      </c>
      <c r="AX201" s="186">
        <f t="shared" ref="AX201:AX260" si="48">AO201/K201/L201/6*N201</f>
        <v>1.8429201376694505E-2</v>
      </c>
      <c r="AY201" s="221"/>
      <c r="AZ201" s="221"/>
      <c r="BA201" s="221"/>
    </row>
    <row r="202" spans="1:53" s="222" customFormat="1" ht="25.5">
      <c r="A202" s="77">
        <f t="shared" si="37"/>
        <v>193</v>
      </c>
      <c r="B202" s="78" t="s">
        <v>349</v>
      </c>
      <c r="C202" s="79" t="s">
        <v>350</v>
      </c>
      <c r="D202" s="78" t="s">
        <v>105</v>
      </c>
      <c r="E202" s="80"/>
      <c r="F202" s="78"/>
      <c r="G202" s="78"/>
      <c r="H202" s="81">
        <v>43556</v>
      </c>
      <c r="I202" s="81">
        <v>43556</v>
      </c>
      <c r="J202" s="82">
        <v>6000000</v>
      </c>
      <c r="K202" s="117">
        <v>7.7499999999999999E-2</v>
      </c>
      <c r="L202" s="85">
        <v>0.9</v>
      </c>
      <c r="M202" s="83">
        <v>8</v>
      </c>
      <c r="N202" s="85">
        <v>12</v>
      </c>
      <c r="O202" s="83">
        <f t="shared" si="40"/>
        <v>279000</v>
      </c>
      <c r="P202" s="83">
        <f t="shared" si="41"/>
        <v>3639936.395389914</v>
      </c>
      <c r="Q202" s="83">
        <f t="shared" si="42"/>
        <v>169257.04238563101</v>
      </c>
      <c r="R202" s="83">
        <f t="shared" si="43"/>
        <v>109742.95761436899</v>
      </c>
      <c r="S202" s="84">
        <v>0.606656065898319</v>
      </c>
      <c r="T202" s="83"/>
      <c r="U202" s="85"/>
      <c r="V202" s="83">
        <f t="shared" si="38"/>
        <v>3639936.395389914</v>
      </c>
      <c r="W202" s="83">
        <f t="shared" si="38"/>
        <v>169257.04238563101</v>
      </c>
      <c r="X202" s="86">
        <f t="shared" si="39"/>
        <v>3639936.395389914</v>
      </c>
      <c r="Y202" s="86">
        <f t="shared" si="39"/>
        <v>169257.04238563101</v>
      </c>
      <c r="Z202" s="86">
        <v>169257.04</v>
      </c>
      <c r="AA202" s="86"/>
      <c r="AB202" s="86">
        <f t="shared" si="44"/>
        <v>2.385630999924615E-3</v>
      </c>
      <c r="AC202" s="87">
        <v>0</v>
      </c>
      <c r="AD202" s="87">
        <f t="shared" si="45"/>
        <v>4.5603459974664085E-2</v>
      </c>
      <c r="AE202" s="87"/>
      <c r="AF202" s="88"/>
      <c r="AG202" s="88"/>
      <c r="AH202" s="88"/>
      <c r="AI202" s="88"/>
      <c r="AJ202" s="88"/>
      <c r="AK202" s="130">
        <f t="shared" ref="AK202:AK260" si="49">AB202+AF202-AE202-AG202-AH202-AI202-AJ202</f>
        <v>2.385630999924615E-3</v>
      </c>
      <c r="AL202" s="130"/>
      <c r="AM202" s="130"/>
      <c r="AN202" s="130"/>
      <c r="AO202" s="130">
        <f t="shared" si="47"/>
        <v>2.385630999924615E-3</v>
      </c>
      <c r="AP202" s="119">
        <f t="shared" si="46"/>
        <v>5.1303892471497095E-2</v>
      </c>
      <c r="AQ202" s="182"/>
      <c r="AR202" s="182"/>
      <c r="AS202" s="183"/>
      <c r="AT202" s="183"/>
      <c r="AU202" s="183"/>
      <c r="AV202" s="183"/>
      <c r="AW202" s="186">
        <f t="shared" ref="AW202:AW260" si="50">AP202-AQ202+AR202-AS202-AT202-AU202-AV202</f>
        <v>5.1303892471497095E-2</v>
      </c>
      <c r="AX202" s="186">
        <f t="shared" si="48"/>
        <v>6.8405189961996127E-2</v>
      </c>
      <c r="AY202" s="221"/>
      <c r="AZ202" s="221"/>
      <c r="BA202" s="221"/>
    </row>
    <row r="203" spans="1:53" s="222" customFormat="1" ht="25.5">
      <c r="A203" s="77">
        <f t="shared" ref="A203:A260" si="51">A202+1</f>
        <v>194</v>
      </c>
      <c r="B203" s="78" t="s">
        <v>349</v>
      </c>
      <c r="C203" s="79" t="s">
        <v>350</v>
      </c>
      <c r="D203" s="78" t="s">
        <v>105</v>
      </c>
      <c r="E203" s="80"/>
      <c r="F203" s="78"/>
      <c r="G203" s="78"/>
      <c r="H203" s="81">
        <v>43739</v>
      </c>
      <c r="I203" s="81">
        <v>43739</v>
      </c>
      <c r="J203" s="82">
        <v>10000000</v>
      </c>
      <c r="K203" s="117">
        <v>7.7499999999999999E-2</v>
      </c>
      <c r="L203" s="85">
        <v>0.9</v>
      </c>
      <c r="M203" s="83">
        <v>2</v>
      </c>
      <c r="N203" s="85">
        <v>12</v>
      </c>
      <c r="O203" s="83">
        <f t="shared" si="40"/>
        <v>116250</v>
      </c>
      <c r="P203" s="83">
        <f t="shared" si="41"/>
        <v>6066560.6589831896</v>
      </c>
      <c r="Q203" s="83">
        <f t="shared" si="42"/>
        <v>70523.767660679572</v>
      </c>
      <c r="R203" s="83">
        <f t="shared" si="43"/>
        <v>45726.232339320428</v>
      </c>
      <c r="S203" s="84">
        <v>0.606656065898319</v>
      </c>
      <c r="T203" s="83"/>
      <c r="U203" s="85"/>
      <c r="V203" s="83">
        <f t="shared" ref="V203:W260" si="52">P203-T203</f>
        <v>6066560.6589831896</v>
      </c>
      <c r="W203" s="83">
        <f t="shared" si="52"/>
        <v>70523.767660679572</v>
      </c>
      <c r="X203" s="86">
        <f t="shared" ref="X203:Y260" si="53">SUM(V203)</f>
        <v>6066560.6589831896</v>
      </c>
      <c r="Y203" s="86">
        <f t="shared" si="53"/>
        <v>70523.767660679572</v>
      </c>
      <c r="Z203" s="86">
        <v>70523.759999999995</v>
      </c>
      <c r="AA203" s="86"/>
      <c r="AB203" s="86">
        <f t="shared" si="44"/>
        <v>7.6606795773841441E-3</v>
      </c>
      <c r="AC203" s="87">
        <v>0</v>
      </c>
      <c r="AD203" s="87">
        <f t="shared" si="45"/>
        <v>0.14644070876719989</v>
      </c>
      <c r="AE203" s="87"/>
      <c r="AF203" s="88"/>
      <c r="AG203" s="88"/>
      <c r="AH203" s="88"/>
      <c r="AI203" s="88"/>
      <c r="AJ203" s="88"/>
      <c r="AK203" s="130">
        <f t="shared" si="49"/>
        <v>7.6606795773841441E-3</v>
      </c>
      <c r="AL203" s="130"/>
      <c r="AM203" s="130"/>
      <c r="AN203" s="130"/>
      <c r="AO203" s="130">
        <f t="shared" si="47"/>
        <v>7.6606795773841441E-3</v>
      </c>
      <c r="AP203" s="119">
        <f t="shared" si="46"/>
        <v>0.16474579736309988</v>
      </c>
      <c r="AQ203" s="182"/>
      <c r="AR203" s="182"/>
      <c r="AS203" s="183"/>
      <c r="AT203" s="183"/>
      <c r="AU203" s="183"/>
      <c r="AV203" s="183"/>
      <c r="AW203" s="186">
        <f t="shared" si="50"/>
        <v>0.16474579736309988</v>
      </c>
      <c r="AX203" s="186">
        <f t="shared" si="48"/>
        <v>0.21966106315079983</v>
      </c>
      <c r="AY203" s="221"/>
      <c r="AZ203" s="221"/>
      <c r="BA203" s="221"/>
    </row>
    <row r="204" spans="1:53" s="230" customFormat="1" ht="25.5">
      <c r="A204" s="120">
        <f t="shared" si="51"/>
        <v>195</v>
      </c>
      <c r="B204" s="80" t="s">
        <v>351</v>
      </c>
      <c r="C204" s="121" t="s">
        <v>352</v>
      </c>
      <c r="D204" s="80" t="s">
        <v>57</v>
      </c>
      <c r="E204" s="80" t="s">
        <v>58</v>
      </c>
      <c r="F204" s="80"/>
      <c r="G204" s="80"/>
      <c r="H204" s="122">
        <v>43525</v>
      </c>
      <c r="I204" s="231" t="s">
        <v>112</v>
      </c>
      <c r="J204" s="123">
        <v>2000000</v>
      </c>
      <c r="K204" s="124">
        <v>7.7499999999999999E-2</v>
      </c>
      <c r="L204" s="125">
        <v>0.9</v>
      </c>
      <c r="M204" s="126">
        <v>9</v>
      </c>
      <c r="N204" s="125">
        <v>12</v>
      </c>
      <c r="O204" s="126">
        <f t="shared" ref="O204:O260" si="54">J204*K204*L204*M204/N204</f>
        <v>104625</v>
      </c>
      <c r="P204" s="126">
        <f t="shared" ref="P204:P260" si="55">J204*0.606656065898319</f>
        <v>1213312.131796638</v>
      </c>
      <c r="Q204" s="126">
        <f t="shared" ref="Q204:Q260" si="56">P204*K204*L204*M204/N204</f>
        <v>63471.390894611628</v>
      </c>
      <c r="R204" s="126">
        <f t="shared" ref="R204:R260" si="57">O204-Q204</f>
        <v>41153.609105388372</v>
      </c>
      <c r="S204" s="127">
        <v>0.606656065898319</v>
      </c>
      <c r="T204" s="126"/>
      <c r="U204" s="125"/>
      <c r="V204" s="126">
        <f t="shared" si="52"/>
        <v>1213312.131796638</v>
      </c>
      <c r="W204" s="126">
        <f t="shared" si="52"/>
        <v>63471.390894611628</v>
      </c>
      <c r="X204" s="128">
        <f t="shared" si="53"/>
        <v>1213312.131796638</v>
      </c>
      <c r="Y204" s="128">
        <f t="shared" si="53"/>
        <v>63471.390894611628</v>
      </c>
      <c r="Z204" s="128"/>
      <c r="AA204" s="128"/>
      <c r="AB204" s="128">
        <f t="shared" si="44"/>
        <v>63471.390894611628</v>
      </c>
      <c r="AC204" s="129">
        <v>1091980.9186169743</v>
      </c>
      <c r="AD204" s="129">
        <f t="shared" si="45"/>
        <v>1213312.131796638</v>
      </c>
      <c r="AE204" s="129">
        <v>46500</v>
      </c>
      <c r="AF204" s="130">
        <v>-16971.39</v>
      </c>
      <c r="AG204" s="130"/>
      <c r="AH204" s="130"/>
      <c r="AI204" s="130"/>
      <c r="AJ204" s="130"/>
      <c r="AK204" s="130">
        <f t="shared" si="49"/>
        <v>8.9461162860970944E-4</v>
      </c>
      <c r="AL204" s="130"/>
      <c r="AM204" s="130"/>
      <c r="AN204" s="130"/>
      <c r="AO204" s="130">
        <f t="shared" si="47"/>
        <v>8.9461162860970944E-4</v>
      </c>
      <c r="AP204" s="119">
        <f t="shared" si="46"/>
        <v>1364976.1482712177</v>
      </c>
      <c r="AQ204" s="242">
        <v>1000000</v>
      </c>
      <c r="AR204" s="243">
        <v>-364976.15</v>
      </c>
      <c r="AS204" s="185"/>
      <c r="AT204" s="185"/>
      <c r="AU204" s="185"/>
      <c r="AV204" s="185"/>
      <c r="AW204" s="186">
        <f t="shared" si="50"/>
        <v>-1.728782313875854E-3</v>
      </c>
      <c r="AX204" s="186">
        <f t="shared" si="48"/>
        <v>2.5651946340063347E-2</v>
      </c>
      <c r="AY204" s="229"/>
      <c r="AZ204" s="229"/>
      <c r="BA204" s="229"/>
    </row>
    <row r="205" spans="1:53" s="230" customFormat="1" ht="25.5">
      <c r="A205" s="120">
        <f t="shared" si="51"/>
        <v>196</v>
      </c>
      <c r="B205" s="80" t="s">
        <v>353</v>
      </c>
      <c r="C205" s="121" t="s">
        <v>354</v>
      </c>
      <c r="D205" s="80" t="s">
        <v>57</v>
      </c>
      <c r="E205" s="80" t="s">
        <v>85</v>
      </c>
      <c r="F205" s="80"/>
      <c r="G205" s="80"/>
      <c r="H205" s="122">
        <v>43497</v>
      </c>
      <c r="I205" s="122">
        <v>43497</v>
      </c>
      <c r="J205" s="123">
        <v>8000000</v>
      </c>
      <c r="K205" s="124">
        <v>7.7499999999999999E-2</v>
      </c>
      <c r="L205" s="125">
        <v>0.9</v>
      </c>
      <c r="M205" s="126">
        <v>10</v>
      </c>
      <c r="N205" s="125">
        <v>12</v>
      </c>
      <c r="O205" s="126">
        <f t="shared" si="54"/>
        <v>465000</v>
      </c>
      <c r="P205" s="126">
        <f t="shared" si="55"/>
        <v>4853248.5271865521</v>
      </c>
      <c r="Q205" s="126">
        <f t="shared" si="56"/>
        <v>282095.07064271835</v>
      </c>
      <c r="R205" s="126">
        <f t="shared" si="57"/>
        <v>182904.92935728165</v>
      </c>
      <c r="S205" s="127">
        <v>0.606656065898319</v>
      </c>
      <c r="T205" s="126"/>
      <c r="U205" s="125"/>
      <c r="V205" s="126">
        <f t="shared" si="52"/>
        <v>4853248.5271865521</v>
      </c>
      <c r="W205" s="126">
        <f t="shared" si="52"/>
        <v>282095.07064271835</v>
      </c>
      <c r="X205" s="128">
        <f t="shared" si="53"/>
        <v>4853248.5271865521</v>
      </c>
      <c r="Y205" s="128">
        <f t="shared" si="53"/>
        <v>282095.07064271835</v>
      </c>
      <c r="Z205" s="128">
        <v>282080.62</v>
      </c>
      <c r="AA205" s="128"/>
      <c r="AB205" s="128">
        <f t="shared" si="44"/>
        <v>14.450642718351446</v>
      </c>
      <c r="AC205" s="129">
        <v>248.52718655206263</v>
      </c>
      <c r="AD205" s="129">
        <f t="shared" si="45"/>
        <v>276.23689784184364</v>
      </c>
      <c r="AE205" s="129"/>
      <c r="AF205" s="130"/>
      <c r="AG205" s="130"/>
      <c r="AH205" s="130"/>
      <c r="AI205" s="130"/>
      <c r="AJ205" s="130"/>
      <c r="AK205" s="130">
        <f t="shared" si="49"/>
        <v>14.450642718351446</v>
      </c>
      <c r="AL205" s="130"/>
      <c r="AM205" s="130"/>
      <c r="AN205" s="130"/>
      <c r="AO205" s="130">
        <f t="shared" si="47"/>
        <v>14.450642718351446</v>
      </c>
      <c r="AP205" s="119">
        <f t="shared" si="46"/>
        <v>310.76651007207408</v>
      </c>
      <c r="AQ205" s="119"/>
      <c r="AR205" s="119"/>
      <c r="AS205" s="185"/>
      <c r="AT205" s="185"/>
      <c r="AU205" s="185"/>
      <c r="AV205" s="185"/>
      <c r="AW205" s="186">
        <f t="shared" si="50"/>
        <v>310.76651007207408</v>
      </c>
      <c r="AX205" s="186">
        <f t="shared" si="48"/>
        <v>414.35534676276546</v>
      </c>
      <c r="AY205" s="229"/>
      <c r="AZ205" s="229"/>
      <c r="BA205" s="229"/>
    </row>
    <row r="206" spans="1:53" s="222" customFormat="1" ht="89.25">
      <c r="A206" s="77">
        <f t="shared" si="51"/>
        <v>197</v>
      </c>
      <c r="B206" s="188" t="s">
        <v>355</v>
      </c>
      <c r="C206" s="189" t="s">
        <v>356</v>
      </c>
      <c r="D206" s="190" t="s">
        <v>357</v>
      </c>
      <c r="E206" s="191" t="s">
        <v>58</v>
      </c>
      <c r="F206" s="190"/>
      <c r="G206" s="190"/>
      <c r="H206" s="192">
        <v>43497</v>
      </c>
      <c r="I206" s="192">
        <v>43497</v>
      </c>
      <c r="J206" s="83">
        <v>0</v>
      </c>
      <c r="K206" s="117">
        <v>7.7499999999999999E-2</v>
      </c>
      <c r="L206" s="85">
        <v>0.9</v>
      </c>
      <c r="M206" s="83">
        <v>10</v>
      </c>
      <c r="N206" s="85">
        <v>12</v>
      </c>
      <c r="O206" s="83">
        <f t="shared" si="54"/>
        <v>0</v>
      </c>
      <c r="P206" s="83">
        <f t="shared" si="55"/>
        <v>0</v>
      </c>
      <c r="Q206" s="83">
        <f t="shared" si="56"/>
        <v>0</v>
      </c>
      <c r="R206" s="83">
        <f t="shared" si="57"/>
        <v>0</v>
      </c>
      <c r="S206" s="84">
        <v>0.606656065898319</v>
      </c>
      <c r="T206" s="118">
        <v>5000000</v>
      </c>
      <c r="U206" s="94">
        <v>290625</v>
      </c>
      <c r="V206" s="83">
        <f t="shared" si="52"/>
        <v>-5000000</v>
      </c>
      <c r="W206" s="83">
        <f t="shared" si="52"/>
        <v>-290625</v>
      </c>
      <c r="X206" s="86">
        <f t="shared" si="53"/>
        <v>-5000000</v>
      </c>
      <c r="Y206" s="86">
        <f t="shared" si="53"/>
        <v>-290625</v>
      </c>
      <c r="Z206" s="86"/>
      <c r="AA206" s="86"/>
      <c r="AB206" s="86">
        <f t="shared" ref="AB206:AB260" si="58">Y206-Z206-AA206</f>
        <v>-290625</v>
      </c>
      <c r="AC206" s="87">
        <v>-5000000</v>
      </c>
      <c r="AD206" s="87">
        <f t="shared" si="45"/>
        <v>-5555555.555555555</v>
      </c>
      <c r="AE206" s="87"/>
      <c r="AF206" s="88"/>
      <c r="AG206" s="88"/>
      <c r="AH206" s="88"/>
      <c r="AI206" s="88"/>
      <c r="AJ206" s="88"/>
      <c r="AK206" s="130">
        <f t="shared" si="49"/>
        <v>-290625</v>
      </c>
      <c r="AL206" s="130"/>
      <c r="AM206" s="130"/>
      <c r="AN206" s="130"/>
      <c r="AO206" s="130">
        <f t="shared" si="47"/>
        <v>-290625</v>
      </c>
      <c r="AP206" s="89">
        <f t="shared" si="46"/>
        <v>-6250000</v>
      </c>
      <c r="AQ206" s="182"/>
      <c r="AR206" s="182"/>
      <c r="AS206" s="183"/>
      <c r="AT206" s="183"/>
      <c r="AU206" s="183"/>
      <c r="AV206" s="183"/>
      <c r="AW206" s="186">
        <f t="shared" si="50"/>
        <v>-6250000</v>
      </c>
      <c r="AX206" s="223">
        <f t="shared" si="48"/>
        <v>-8333333.3333333321</v>
      </c>
      <c r="AY206" s="221"/>
      <c r="AZ206" s="221"/>
      <c r="BA206" s="221"/>
    </row>
    <row r="207" spans="1:53" s="222" customFormat="1" ht="25.5">
      <c r="A207" s="77">
        <f t="shared" si="51"/>
        <v>198</v>
      </c>
      <c r="B207" s="78" t="s">
        <v>358</v>
      </c>
      <c r="C207" s="79" t="s">
        <v>359</v>
      </c>
      <c r="D207" s="78" t="s">
        <v>57</v>
      </c>
      <c r="E207" s="80" t="s">
        <v>85</v>
      </c>
      <c r="F207" s="78"/>
      <c r="G207" s="78"/>
      <c r="H207" s="81">
        <v>43497</v>
      </c>
      <c r="I207" s="81">
        <v>43497</v>
      </c>
      <c r="J207" s="82">
        <v>15000000</v>
      </c>
      <c r="K207" s="117">
        <v>7.7499999999999999E-2</v>
      </c>
      <c r="L207" s="85">
        <v>0.9</v>
      </c>
      <c r="M207" s="83">
        <v>10</v>
      </c>
      <c r="N207" s="85">
        <v>12</v>
      </c>
      <c r="O207" s="83">
        <f t="shared" si="54"/>
        <v>871875</v>
      </c>
      <c r="P207" s="83">
        <f t="shared" si="55"/>
        <v>9099840.9884747844</v>
      </c>
      <c r="Q207" s="83">
        <f t="shared" si="56"/>
        <v>528928.25745509693</v>
      </c>
      <c r="R207" s="83">
        <f t="shared" si="57"/>
        <v>342946.74254490307</v>
      </c>
      <c r="S207" s="84">
        <v>0.606656065898319</v>
      </c>
      <c r="T207" s="83"/>
      <c r="U207" s="85"/>
      <c r="V207" s="83">
        <f t="shared" si="52"/>
        <v>9099840.9884747844</v>
      </c>
      <c r="W207" s="83">
        <f t="shared" si="52"/>
        <v>528928.25745509693</v>
      </c>
      <c r="X207" s="86">
        <f t="shared" si="53"/>
        <v>9099840.9884747844</v>
      </c>
      <c r="Y207" s="86">
        <f>SUM(W207)-80195.87</f>
        <v>448732.38745509693</v>
      </c>
      <c r="Z207" s="86">
        <f>871874.99-Z208</f>
        <v>448732.39</v>
      </c>
      <c r="AA207" s="86"/>
      <c r="AB207" s="86">
        <f t="shared" si="58"/>
        <v>-2.5449030799791217E-3</v>
      </c>
      <c r="AC207" s="87">
        <v>5.8824505656957626E-2</v>
      </c>
      <c r="AD207" s="87">
        <f t="shared" si="45"/>
        <v>-4.8648087550377472E-2</v>
      </c>
      <c r="AE207" s="87"/>
      <c r="AF207" s="88"/>
      <c r="AG207" s="88"/>
      <c r="AH207" s="88"/>
      <c r="AI207" s="88"/>
      <c r="AJ207" s="88"/>
      <c r="AK207" s="130">
        <f t="shared" si="49"/>
        <v>-2.5449030799791217E-3</v>
      </c>
      <c r="AL207" s="130"/>
      <c r="AM207" s="130"/>
      <c r="AN207" s="130"/>
      <c r="AO207" s="130">
        <f t="shared" si="47"/>
        <v>-2.5449030799791217E-3</v>
      </c>
      <c r="AP207" s="89">
        <f t="shared" si="46"/>
        <v>-5.4729098494174656E-2</v>
      </c>
      <c r="AQ207" s="182"/>
      <c r="AR207" s="182"/>
      <c r="AS207" s="183"/>
      <c r="AT207" s="183"/>
      <c r="AU207" s="183"/>
      <c r="AV207" s="183"/>
      <c r="AW207" s="186">
        <f t="shared" si="50"/>
        <v>-5.4729098494174656E-2</v>
      </c>
      <c r="AX207" s="186">
        <f t="shared" si="48"/>
        <v>-7.2972131325566209E-2</v>
      </c>
      <c r="AY207" s="221"/>
      <c r="AZ207" s="221"/>
      <c r="BA207" s="221"/>
    </row>
    <row r="208" spans="1:53" s="222" customFormat="1" ht="25.5">
      <c r="A208" s="77">
        <f t="shared" si="51"/>
        <v>199</v>
      </c>
      <c r="B208" s="78" t="s">
        <v>358</v>
      </c>
      <c r="C208" s="79" t="s">
        <v>360</v>
      </c>
      <c r="D208" s="78" t="s">
        <v>97</v>
      </c>
      <c r="E208" s="80" t="s">
        <v>85</v>
      </c>
      <c r="F208" s="78"/>
      <c r="G208" s="78"/>
      <c r="H208" s="81">
        <v>43556</v>
      </c>
      <c r="I208" s="81">
        <v>43556</v>
      </c>
      <c r="J208" s="82">
        <v>15000000</v>
      </c>
      <c r="K208" s="117">
        <v>7.7499999999999999E-2</v>
      </c>
      <c r="L208" s="85">
        <v>0.9</v>
      </c>
      <c r="M208" s="83">
        <v>8</v>
      </c>
      <c r="N208" s="85">
        <v>12</v>
      </c>
      <c r="O208" s="83">
        <f t="shared" si="54"/>
        <v>697500</v>
      </c>
      <c r="P208" s="83">
        <f t="shared" si="55"/>
        <v>9099840.9884747844</v>
      </c>
      <c r="Q208" s="83">
        <f t="shared" si="56"/>
        <v>423142.60596407746</v>
      </c>
      <c r="R208" s="83">
        <f t="shared" si="57"/>
        <v>274357.39403592254</v>
      </c>
      <c r="S208" s="84">
        <v>0.606656065898319</v>
      </c>
      <c r="T208" s="83"/>
      <c r="U208" s="85"/>
      <c r="V208" s="83">
        <f t="shared" si="52"/>
        <v>9099840.9884747844</v>
      </c>
      <c r="W208" s="83">
        <f t="shared" si="52"/>
        <v>423142.60596407746</v>
      </c>
      <c r="X208" s="86">
        <f t="shared" si="53"/>
        <v>9099840.9884747844</v>
      </c>
      <c r="Y208" s="86">
        <f t="shared" si="53"/>
        <v>423142.60596407746</v>
      </c>
      <c r="Z208" s="86">
        <v>423142.6</v>
      </c>
      <c r="AA208" s="86"/>
      <c r="AB208" s="86">
        <f t="shared" si="58"/>
        <v>5.9640774852596223E-3</v>
      </c>
      <c r="AC208" s="87">
        <v>0</v>
      </c>
      <c r="AD208" s="87">
        <f t="shared" si="45"/>
        <v>0.11400864965848742</v>
      </c>
      <c r="AE208" s="87"/>
      <c r="AF208" s="88"/>
      <c r="AG208" s="88"/>
      <c r="AH208" s="88"/>
      <c r="AI208" s="88"/>
      <c r="AJ208" s="88"/>
      <c r="AK208" s="130">
        <f t="shared" si="49"/>
        <v>5.9640774852596223E-3</v>
      </c>
      <c r="AL208" s="130"/>
      <c r="AM208" s="130"/>
      <c r="AN208" s="130"/>
      <c r="AO208" s="130">
        <f t="shared" si="47"/>
        <v>5.9640774852596223E-3</v>
      </c>
      <c r="AP208" s="119">
        <f t="shared" si="46"/>
        <v>0.12825973086579834</v>
      </c>
      <c r="AQ208" s="182"/>
      <c r="AR208" s="182"/>
      <c r="AS208" s="183"/>
      <c r="AT208" s="183"/>
      <c r="AU208" s="183"/>
      <c r="AV208" s="183"/>
      <c r="AW208" s="186">
        <f t="shared" si="50"/>
        <v>0.12825973086579834</v>
      </c>
      <c r="AX208" s="186">
        <f t="shared" si="48"/>
        <v>0.17101297448773112</v>
      </c>
      <c r="AY208" s="221"/>
      <c r="AZ208" s="221"/>
      <c r="BA208" s="221"/>
    </row>
    <row r="209" spans="1:53" s="222" customFormat="1" ht="25.5">
      <c r="A209" s="77">
        <f t="shared" si="51"/>
        <v>200</v>
      </c>
      <c r="B209" s="78" t="s">
        <v>361</v>
      </c>
      <c r="C209" s="79" t="s">
        <v>362</v>
      </c>
      <c r="D209" s="78" t="s">
        <v>57</v>
      </c>
      <c r="E209" s="80" t="s">
        <v>58</v>
      </c>
      <c r="F209" s="78"/>
      <c r="G209" s="78"/>
      <c r="H209" s="81">
        <v>43525</v>
      </c>
      <c r="I209" s="81">
        <v>43525</v>
      </c>
      <c r="J209" s="82">
        <v>3000000</v>
      </c>
      <c r="K209" s="117">
        <v>7.7499999999999999E-2</v>
      </c>
      <c r="L209" s="85">
        <v>0.9</v>
      </c>
      <c r="M209" s="83">
        <v>9</v>
      </c>
      <c r="N209" s="85">
        <v>12</v>
      </c>
      <c r="O209" s="83">
        <f t="shared" si="54"/>
        <v>156937.5</v>
      </c>
      <c r="P209" s="83">
        <f t="shared" si="55"/>
        <v>1819968.197694957</v>
      </c>
      <c r="Q209" s="83">
        <f t="shared" si="56"/>
        <v>95207.086341917442</v>
      </c>
      <c r="R209" s="83">
        <f t="shared" si="57"/>
        <v>61730.413658082558</v>
      </c>
      <c r="S209" s="84">
        <v>0.606656065898319</v>
      </c>
      <c r="T209" s="83"/>
      <c r="U209" s="85"/>
      <c r="V209" s="83">
        <f t="shared" si="52"/>
        <v>1819968.197694957</v>
      </c>
      <c r="W209" s="83">
        <f t="shared" si="52"/>
        <v>95207.086341917442</v>
      </c>
      <c r="X209" s="86">
        <f t="shared" si="53"/>
        <v>1819968.197694957</v>
      </c>
      <c r="Y209" s="86">
        <f t="shared" si="53"/>
        <v>95207.086341917442</v>
      </c>
      <c r="Z209" s="86">
        <v>93216.58</v>
      </c>
      <c r="AA209" s="86"/>
      <c r="AB209" s="86">
        <f t="shared" si="58"/>
        <v>1990.5063419174403</v>
      </c>
      <c r="AC209" s="87">
        <v>-362028.62207453861</v>
      </c>
      <c r="AD209" s="87">
        <f t="shared" si="45"/>
        <v>38050.300442866246</v>
      </c>
      <c r="AE209" s="87"/>
      <c r="AF209" s="88"/>
      <c r="AG209" s="88"/>
      <c r="AH209" s="88"/>
      <c r="AI209" s="88"/>
      <c r="AJ209" s="88"/>
      <c r="AK209" s="130">
        <f t="shared" si="49"/>
        <v>1990.5063419174403</v>
      </c>
      <c r="AL209" s="130"/>
      <c r="AM209" s="130"/>
      <c r="AN209" s="130"/>
      <c r="AO209" s="130">
        <f t="shared" si="47"/>
        <v>1990.5063419174403</v>
      </c>
      <c r="AP209" s="119">
        <f t="shared" si="46"/>
        <v>42806.587998224524</v>
      </c>
      <c r="AQ209" s="182"/>
      <c r="AR209" s="182"/>
      <c r="AS209" s="183"/>
      <c r="AT209" s="183"/>
      <c r="AU209" s="183"/>
      <c r="AV209" s="183"/>
      <c r="AW209" s="186">
        <f t="shared" si="50"/>
        <v>42806.587998224524</v>
      </c>
      <c r="AX209" s="186">
        <f t="shared" si="48"/>
        <v>57075.450664299366</v>
      </c>
      <c r="AY209" s="221"/>
      <c r="AZ209" s="221"/>
      <c r="BA209" s="221"/>
    </row>
    <row r="210" spans="1:53" s="230" customFormat="1" ht="25.5">
      <c r="A210" s="120">
        <f t="shared" si="51"/>
        <v>201</v>
      </c>
      <c r="B210" s="80" t="s">
        <v>363</v>
      </c>
      <c r="C210" s="121" t="s">
        <v>364</v>
      </c>
      <c r="D210" s="80" t="s">
        <v>57</v>
      </c>
      <c r="E210" s="80" t="s">
        <v>58</v>
      </c>
      <c r="F210" s="80"/>
      <c r="G210" s="80"/>
      <c r="H210" s="122">
        <v>43525</v>
      </c>
      <c r="I210" s="231" t="s">
        <v>112</v>
      </c>
      <c r="J210" s="123">
        <v>800000</v>
      </c>
      <c r="K210" s="124">
        <v>7.7499999999999999E-2</v>
      </c>
      <c r="L210" s="125">
        <v>0.9</v>
      </c>
      <c r="M210" s="126">
        <v>9</v>
      </c>
      <c r="N210" s="125">
        <v>12</v>
      </c>
      <c r="O210" s="126">
        <f t="shared" si="54"/>
        <v>41850</v>
      </c>
      <c r="P210" s="126">
        <f t="shared" si="55"/>
        <v>485324.85271865519</v>
      </c>
      <c r="Q210" s="126">
        <f t="shared" si="56"/>
        <v>25388.556357844649</v>
      </c>
      <c r="R210" s="126">
        <f t="shared" si="57"/>
        <v>16461.443642155351</v>
      </c>
      <c r="S210" s="127">
        <v>0.606656065898319</v>
      </c>
      <c r="T210" s="126"/>
      <c r="U210" s="125"/>
      <c r="V210" s="126">
        <f t="shared" si="52"/>
        <v>485324.85271865519</v>
      </c>
      <c r="W210" s="126">
        <f t="shared" si="52"/>
        <v>25388.556357844649</v>
      </c>
      <c r="X210" s="128">
        <f t="shared" si="53"/>
        <v>485324.85271865519</v>
      </c>
      <c r="Y210" s="128">
        <f t="shared" si="53"/>
        <v>25388.556357844649</v>
      </c>
      <c r="Z210" s="128"/>
      <c r="AA210" s="128"/>
      <c r="AB210" s="128">
        <f t="shared" si="58"/>
        <v>25388.556357844649</v>
      </c>
      <c r="AC210" s="129">
        <v>436792.36744678969</v>
      </c>
      <c r="AD210" s="129">
        <f t="shared" si="45"/>
        <v>485324.85271865514</v>
      </c>
      <c r="AE210" s="129"/>
      <c r="AF210" s="130">
        <v>-25388.560000000001</v>
      </c>
      <c r="AG210" s="130"/>
      <c r="AH210" s="130"/>
      <c r="AI210" s="130"/>
      <c r="AJ210" s="130"/>
      <c r="AK210" s="130">
        <f t="shared" si="49"/>
        <v>-3.6421553522814065E-3</v>
      </c>
      <c r="AL210" s="130"/>
      <c r="AM210" s="130"/>
      <c r="AN210" s="130"/>
      <c r="AO210" s="130">
        <f t="shared" si="47"/>
        <v>-3.6421553522814065E-3</v>
      </c>
      <c r="AP210" s="119">
        <f t="shared" si="46"/>
        <v>545990.45930848713</v>
      </c>
      <c r="AQ210" s="119"/>
      <c r="AR210" s="89">
        <v>-545990.46</v>
      </c>
      <c r="AS210" s="185"/>
      <c r="AT210" s="185"/>
      <c r="AU210" s="185"/>
      <c r="AV210" s="185"/>
      <c r="AW210" s="186">
        <f t="shared" si="50"/>
        <v>-6.9151283241808414E-4</v>
      </c>
      <c r="AX210" s="223">
        <f t="shared" si="48"/>
        <v>-0.10443456207258511</v>
      </c>
      <c r="AY210" s="229"/>
      <c r="AZ210" s="229"/>
      <c r="BA210" s="229"/>
    </row>
    <row r="211" spans="1:53" s="230" customFormat="1" ht="25.5">
      <c r="A211" s="120">
        <f t="shared" si="51"/>
        <v>202</v>
      </c>
      <c r="B211" s="80" t="s">
        <v>365</v>
      </c>
      <c r="C211" s="121" t="s">
        <v>366</v>
      </c>
      <c r="D211" s="80" t="s">
        <v>57</v>
      </c>
      <c r="E211" s="80" t="s">
        <v>58</v>
      </c>
      <c r="F211" s="80"/>
      <c r="G211" s="80"/>
      <c r="H211" s="122">
        <v>43525</v>
      </c>
      <c r="I211" s="231" t="s">
        <v>112</v>
      </c>
      <c r="J211" s="123">
        <v>1000000</v>
      </c>
      <c r="K211" s="124">
        <v>7.7499999999999999E-2</v>
      </c>
      <c r="L211" s="125">
        <v>0.9</v>
      </c>
      <c r="M211" s="126">
        <v>9</v>
      </c>
      <c r="N211" s="125">
        <v>12</v>
      </c>
      <c r="O211" s="126">
        <f t="shared" si="54"/>
        <v>52312.5</v>
      </c>
      <c r="P211" s="126">
        <f t="shared" si="55"/>
        <v>606656.06589831901</v>
      </c>
      <c r="Q211" s="126">
        <f t="shared" si="56"/>
        <v>31735.695447305814</v>
      </c>
      <c r="R211" s="126">
        <f t="shared" si="57"/>
        <v>20576.804552694186</v>
      </c>
      <c r="S211" s="127">
        <v>0.606656065898319</v>
      </c>
      <c r="T211" s="126"/>
      <c r="U211" s="125"/>
      <c r="V211" s="126">
        <f t="shared" si="52"/>
        <v>606656.06589831901</v>
      </c>
      <c r="W211" s="126">
        <f t="shared" si="52"/>
        <v>31735.695447305814</v>
      </c>
      <c r="X211" s="128">
        <f t="shared" si="53"/>
        <v>606656.06589831901</v>
      </c>
      <c r="Y211" s="128">
        <f t="shared" si="53"/>
        <v>31735.695447305814</v>
      </c>
      <c r="Z211" s="128"/>
      <c r="AA211" s="128"/>
      <c r="AB211" s="128">
        <f t="shared" si="58"/>
        <v>31735.695447305814</v>
      </c>
      <c r="AC211" s="129">
        <v>545990.45930848713</v>
      </c>
      <c r="AD211" s="129">
        <f t="shared" si="45"/>
        <v>606656.06589831901</v>
      </c>
      <c r="AE211" s="129"/>
      <c r="AF211" s="130">
        <v>-31735.7</v>
      </c>
      <c r="AG211" s="130"/>
      <c r="AH211" s="130"/>
      <c r="AI211" s="130"/>
      <c r="AJ211" s="130"/>
      <c r="AK211" s="130">
        <f t="shared" si="49"/>
        <v>-4.5526941867137793E-3</v>
      </c>
      <c r="AL211" s="130"/>
      <c r="AM211" s="130"/>
      <c r="AN211" s="130"/>
      <c r="AO211" s="130">
        <f t="shared" si="47"/>
        <v>-4.5526941867137793E-3</v>
      </c>
      <c r="AP211" s="119">
        <f t="shared" si="46"/>
        <v>682488.07413560885</v>
      </c>
      <c r="AQ211" s="119"/>
      <c r="AR211" s="89">
        <v>-682488.07</v>
      </c>
      <c r="AS211" s="185"/>
      <c r="AT211" s="185"/>
      <c r="AU211" s="185"/>
      <c r="AV211" s="185"/>
      <c r="AW211" s="186">
        <f t="shared" si="50"/>
        <v>4.1356089059263468E-3</v>
      </c>
      <c r="AX211" s="223">
        <f t="shared" si="48"/>
        <v>-0.13054320248641663</v>
      </c>
      <c r="AY211" s="229"/>
      <c r="AZ211" s="229"/>
      <c r="BA211" s="229"/>
    </row>
    <row r="212" spans="1:53" s="230" customFormat="1" ht="25.5">
      <c r="A212" s="120">
        <f t="shared" si="51"/>
        <v>203</v>
      </c>
      <c r="B212" s="80" t="s">
        <v>367</v>
      </c>
      <c r="C212" s="121" t="s">
        <v>368</v>
      </c>
      <c r="D212" s="80" t="s">
        <v>57</v>
      </c>
      <c r="E212" s="80" t="s">
        <v>58</v>
      </c>
      <c r="F212" s="80"/>
      <c r="G212" s="80"/>
      <c r="H212" s="122">
        <v>43497</v>
      </c>
      <c r="I212" s="231" t="s">
        <v>112</v>
      </c>
      <c r="J212" s="123">
        <v>1000000</v>
      </c>
      <c r="K212" s="124">
        <v>7.7499999999999999E-2</v>
      </c>
      <c r="L212" s="125">
        <v>0.9</v>
      </c>
      <c r="M212" s="126">
        <v>10</v>
      </c>
      <c r="N212" s="125">
        <v>12</v>
      </c>
      <c r="O212" s="126">
        <f t="shared" si="54"/>
        <v>58125</v>
      </c>
      <c r="P212" s="126">
        <f t="shared" si="55"/>
        <v>606656.06589831901</v>
      </c>
      <c r="Q212" s="126">
        <f t="shared" si="56"/>
        <v>35261.883830339793</v>
      </c>
      <c r="R212" s="126">
        <f t="shared" si="57"/>
        <v>22863.116169660207</v>
      </c>
      <c r="S212" s="127">
        <v>0.606656065898319</v>
      </c>
      <c r="T212" s="126"/>
      <c r="U212" s="125"/>
      <c r="V212" s="126">
        <f t="shared" si="52"/>
        <v>606656.06589831901</v>
      </c>
      <c r="W212" s="126">
        <f t="shared" si="52"/>
        <v>35261.883830339793</v>
      </c>
      <c r="X212" s="128">
        <f t="shared" si="53"/>
        <v>606656.06589831901</v>
      </c>
      <c r="Y212" s="128">
        <f t="shared" si="53"/>
        <v>35261.883830339793</v>
      </c>
      <c r="Z212" s="128"/>
      <c r="AA212" s="128"/>
      <c r="AB212" s="128">
        <f t="shared" si="58"/>
        <v>35261.883830339793</v>
      </c>
      <c r="AC212" s="129">
        <v>606656.06589831901</v>
      </c>
      <c r="AD212" s="129">
        <f t="shared" si="45"/>
        <v>674062.29544257664</v>
      </c>
      <c r="AE212" s="129">
        <v>28179</v>
      </c>
      <c r="AF212" s="130">
        <v>-7082.88</v>
      </c>
      <c r="AG212" s="130"/>
      <c r="AH212" s="130"/>
      <c r="AI212" s="130"/>
      <c r="AJ212" s="130"/>
      <c r="AK212" s="130">
        <f t="shared" si="49"/>
        <v>3.8303397923300508E-3</v>
      </c>
      <c r="AL212" s="130"/>
      <c r="AM212" s="130"/>
      <c r="AN212" s="130"/>
      <c r="AO212" s="130">
        <f t="shared" si="47"/>
        <v>3.8303397923300508E-3</v>
      </c>
      <c r="AP212" s="119">
        <f t="shared" si="46"/>
        <v>758320.0823728987</v>
      </c>
      <c r="AQ212" s="242">
        <v>606000</v>
      </c>
      <c r="AR212" s="243">
        <f>AQ212-AP212</f>
        <v>-152320.0823728987</v>
      </c>
      <c r="AS212" s="185"/>
      <c r="AT212" s="185"/>
      <c r="AU212" s="185"/>
      <c r="AV212" s="185"/>
      <c r="AW212" s="186">
        <f t="shared" si="50"/>
        <v>0</v>
      </c>
      <c r="AX212" s="186">
        <f t="shared" si="48"/>
        <v>0.10983053167971471</v>
      </c>
      <c r="AY212" s="229"/>
      <c r="AZ212" s="229"/>
      <c r="BA212" s="229"/>
    </row>
    <row r="213" spans="1:53" s="230" customFormat="1" ht="25.5">
      <c r="A213" s="120">
        <f t="shared" si="51"/>
        <v>204</v>
      </c>
      <c r="B213" s="80" t="s">
        <v>369</v>
      </c>
      <c r="C213" s="121" t="s">
        <v>370</v>
      </c>
      <c r="D213" s="80" t="s">
        <v>57</v>
      </c>
      <c r="E213" s="80" t="s">
        <v>58</v>
      </c>
      <c r="F213" s="80"/>
      <c r="G213" s="80"/>
      <c r="H213" s="122">
        <v>43525</v>
      </c>
      <c r="I213" s="231" t="s">
        <v>112</v>
      </c>
      <c r="J213" s="123">
        <v>700000</v>
      </c>
      <c r="K213" s="124">
        <v>7.7499999999999999E-2</v>
      </c>
      <c r="L213" s="125">
        <v>0.9</v>
      </c>
      <c r="M213" s="126">
        <v>9</v>
      </c>
      <c r="N213" s="125">
        <v>12</v>
      </c>
      <c r="O213" s="126">
        <f t="shared" si="54"/>
        <v>36618.75</v>
      </c>
      <c r="P213" s="126">
        <f t="shared" si="55"/>
        <v>424659.24612882332</v>
      </c>
      <c r="Q213" s="126">
        <f t="shared" si="56"/>
        <v>22214.986813114072</v>
      </c>
      <c r="R213" s="126">
        <f t="shared" si="57"/>
        <v>14403.763186885928</v>
      </c>
      <c r="S213" s="127">
        <v>0.606656065898319</v>
      </c>
      <c r="T213" s="126"/>
      <c r="U213" s="125"/>
      <c r="V213" s="126">
        <f t="shared" si="52"/>
        <v>424659.24612882332</v>
      </c>
      <c r="W213" s="126">
        <f t="shared" si="52"/>
        <v>22214.986813114072</v>
      </c>
      <c r="X213" s="128">
        <f t="shared" si="53"/>
        <v>424659.24612882332</v>
      </c>
      <c r="Y213" s="128">
        <f t="shared" si="53"/>
        <v>22214.986813114072</v>
      </c>
      <c r="Z213" s="128"/>
      <c r="AA213" s="128"/>
      <c r="AB213" s="128">
        <f t="shared" si="58"/>
        <v>22214.986813114072</v>
      </c>
      <c r="AC213" s="129">
        <v>382193.32151594106</v>
      </c>
      <c r="AD213" s="129">
        <f t="shared" si="45"/>
        <v>424659.24612882338</v>
      </c>
      <c r="AE213" s="129"/>
      <c r="AF213" s="130">
        <v>-22214.99</v>
      </c>
      <c r="AG213" s="130"/>
      <c r="AH213" s="130"/>
      <c r="AI213" s="130"/>
      <c r="AJ213" s="130"/>
      <c r="AK213" s="130">
        <f t="shared" si="49"/>
        <v>-3.1868859296082519E-3</v>
      </c>
      <c r="AL213" s="130"/>
      <c r="AM213" s="130"/>
      <c r="AN213" s="130"/>
      <c r="AO213" s="130">
        <f t="shared" si="47"/>
        <v>-3.1868859296082519E-3</v>
      </c>
      <c r="AP213" s="119">
        <f t="shared" si="46"/>
        <v>477741.65189492633</v>
      </c>
      <c r="AQ213" s="119"/>
      <c r="AR213" s="89">
        <v>-477741.65</v>
      </c>
      <c r="AS213" s="185"/>
      <c r="AT213" s="185"/>
      <c r="AU213" s="185"/>
      <c r="AV213" s="185"/>
      <c r="AW213" s="186">
        <f t="shared" si="50"/>
        <v>1.8949263030663133E-3</v>
      </c>
      <c r="AX213" s="223">
        <f t="shared" si="48"/>
        <v>-9.1380241709197188E-2</v>
      </c>
      <c r="AY213" s="229"/>
      <c r="AZ213" s="229"/>
      <c r="BA213" s="229"/>
    </row>
    <row r="214" spans="1:53" s="230" customFormat="1" ht="25.5">
      <c r="A214" s="120">
        <f t="shared" si="51"/>
        <v>205</v>
      </c>
      <c r="B214" s="80" t="s">
        <v>371</v>
      </c>
      <c r="C214" s="121" t="s">
        <v>372</v>
      </c>
      <c r="D214" s="80" t="s">
        <v>57</v>
      </c>
      <c r="E214" s="80" t="s">
        <v>58</v>
      </c>
      <c r="F214" s="80"/>
      <c r="G214" s="80"/>
      <c r="H214" s="122">
        <v>43525</v>
      </c>
      <c r="I214" s="231" t="s">
        <v>112</v>
      </c>
      <c r="J214" s="123">
        <v>4000000</v>
      </c>
      <c r="K214" s="124">
        <v>7.7499999999999999E-2</v>
      </c>
      <c r="L214" s="125">
        <v>0.9</v>
      </c>
      <c r="M214" s="126">
        <v>9</v>
      </c>
      <c r="N214" s="125">
        <v>12</v>
      </c>
      <c r="O214" s="126">
        <f t="shared" si="54"/>
        <v>209250</v>
      </c>
      <c r="P214" s="126">
        <f t="shared" si="55"/>
        <v>2426624.263593276</v>
      </c>
      <c r="Q214" s="126">
        <f t="shared" si="56"/>
        <v>126942.78178922326</v>
      </c>
      <c r="R214" s="126">
        <f t="shared" si="57"/>
        <v>82307.218210776744</v>
      </c>
      <c r="S214" s="127">
        <v>0.606656065898319</v>
      </c>
      <c r="T214" s="126"/>
      <c r="U214" s="125"/>
      <c r="V214" s="126">
        <f t="shared" si="52"/>
        <v>2426624.263593276</v>
      </c>
      <c r="W214" s="126">
        <f t="shared" si="52"/>
        <v>126942.78178922326</v>
      </c>
      <c r="X214" s="128">
        <f t="shared" si="53"/>
        <v>2426624.263593276</v>
      </c>
      <c r="Y214" s="128">
        <f t="shared" si="53"/>
        <v>126942.78178922326</v>
      </c>
      <c r="Z214" s="128"/>
      <c r="AA214" s="128"/>
      <c r="AB214" s="128">
        <f t="shared" si="58"/>
        <v>126942.78178922326</v>
      </c>
      <c r="AC214" s="129">
        <v>2183961.8372339485</v>
      </c>
      <c r="AD214" s="129">
        <f t="shared" si="45"/>
        <v>2426624.263593276</v>
      </c>
      <c r="AE214" s="129"/>
      <c r="AF214" s="130">
        <v>-126942.78</v>
      </c>
      <c r="AG214" s="130"/>
      <c r="AH214" s="130"/>
      <c r="AI214" s="130"/>
      <c r="AJ214" s="130"/>
      <c r="AK214" s="130">
        <f t="shared" si="49"/>
        <v>1.7892232572194189E-3</v>
      </c>
      <c r="AL214" s="130"/>
      <c r="AM214" s="130"/>
      <c r="AN214" s="130"/>
      <c r="AO214" s="130">
        <f t="shared" si="47"/>
        <v>1.7892232572194189E-3</v>
      </c>
      <c r="AP214" s="119">
        <f t="shared" si="46"/>
        <v>2729952.2965424354</v>
      </c>
      <c r="AQ214" s="119"/>
      <c r="AR214" s="89">
        <v>-2729952.3</v>
      </c>
      <c r="AS214" s="185"/>
      <c r="AT214" s="185"/>
      <c r="AU214" s="185"/>
      <c r="AV214" s="185"/>
      <c r="AW214" s="186">
        <f t="shared" si="50"/>
        <v>-3.4575643949210644E-3</v>
      </c>
      <c r="AX214" s="186">
        <f t="shared" si="48"/>
        <v>5.1303892680126695E-2</v>
      </c>
      <c r="AY214" s="229"/>
      <c r="AZ214" s="229"/>
      <c r="BA214" s="229"/>
    </row>
    <row r="215" spans="1:53" s="222" customFormat="1" ht="25.5">
      <c r="A215" s="77">
        <f t="shared" si="51"/>
        <v>206</v>
      </c>
      <c r="B215" s="78" t="s">
        <v>373</v>
      </c>
      <c r="C215" s="79" t="s">
        <v>374</v>
      </c>
      <c r="D215" s="78" t="s">
        <v>57</v>
      </c>
      <c r="E215" s="80"/>
      <c r="F215" s="78"/>
      <c r="G215" s="78"/>
      <c r="H215" s="81">
        <v>43497</v>
      </c>
      <c r="I215" s="81">
        <v>43497</v>
      </c>
      <c r="J215" s="82">
        <v>4000000</v>
      </c>
      <c r="K215" s="117">
        <v>7.7499999999999999E-2</v>
      </c>
      <c r="L215" s="85">
        <v>0.9</v>
      </c>
      <c r="M215" s="83">
        <v>10</v>
      </c>
      <c r="N215" s="85">
        <v>12</v>
      </c>
      <c r="O215" s="83">
        <f t="shared" si="54"/>
        <v>232500</v>
      </c>
      <c r="P215" s="83">
        <f t="shared" si="55"/>
        <v>2426624.263593276</v>
      </c>
      <c r="Q215" s="83">
        <f t="shared" si="56"/>
        <v>141047.53532135917</v>
      </c>
      <c r="R215" s="83">
        <f t="shared" si="57"/>
        <v>91452.464678640827</v>
      </c>
      <c r="S215" s="84">
        <v>0.606656065898319</v>
      </c>
      <c r="T215" s="118">
        <v>4000000</v>
      </c>
      <c r="U215" s="94">
        <v>232500</v>
      </c>
      <c r="V215" s="83">
        <f t="shared" si="52"/>
        <v>-1573375.736406724</v>
      </c>
      <c r="W215" s="83">
        <f t="shared" si="52"/>
        <v>-91452.464678640827</v>
      </c>
      <c r="X215" s="86">
        <f t="shared" si="53"/>
        <v>-1573375.736406724</v>
      </c>
      <c r="Y215" s="86">
        <f t="shared" si="53"/>
        <v>-91452.464678640827</v>
      </c>
      <c r="Z215" s="86"/>
      <c r="AA215" s="86"/>
      <c r="AB215" s="86">
        <f t="shared" si="58"/>
        <v>-91452.464678640827</v>
      </c>
      <c r="AC215" s="87">
        <v>-1573375.7364067237</v>
      </c>
      <c r="AD215" s="87">
        <f t="shared" si="45"/>
        <v>-1748195.2626741375</v>
      </c>
      <c r="AE215" s="87"/>
      <c r="AF215" s="88"/>
      <c r="AG215" s="88"/>
      <c r="AH215" s="88"/>
      <c r="AI215" s="88"/>
      <c r="AJ215" s="88"/>
      <c r="AK215" s="130">
        <f t="shared" si="49"/>
        <v>-91452.464678640827</v>
      </c>
      <c r="AL215" s="130"/>
      <c r="AM215" s="130"/>
      <c r="AN215" s="130"/>
      <c r="AO215" s="130">
        <f t="shared" si="47"/>
        <v>-91452.464678640827</v>
      </c>
      <c r="AP215" s="89">
        <f t="shared" si="46"/>
        <v>-1966719.6705084047</v>
      </c>
      <c r="AQ215" s="182"/>
      <c r="AR215" s="182"/>
      <c r="AS215" s="183"/>
      <c r="AT215" s="183"/>
      <c r="AU215" s="183"/>
      <c r="AV215" s="183"/>
      <c r="AW215" s="186">
        <f t="shared" si="50"/>
        <v>-1966719.6705084047</v>
      </c>
      <c r="AX215" s="223">
        <f t="shared" si="48"/>
        <v>-2622292.8940112065</v>
      </c>
      <c r="AY215" s="221"/>
      <c r="AZ215" s="221"/>
      <c r="BA215" s="221"/>
    </row>
    <row r="216" spans="1:53" s="222" customFormat="1" ht="38.25">
      <c r="A216" s="77">
        <f t="shared" si="51"/>
        <v>207</v>
      </c>
      <c r="B216" s="78" t="s">
        <v>375</v>
      </c>
      <c r="C216" s="79" t="s">
        <v>376</v>
      </c>
      <c r="D216" s="78" t="s">
        <v>57</v>
      </c>
      <c r="E216" s="80" t="s">
        <v>58</v>
      </c>
      <c r="F216" s="78"/>
      <c r="G216" s="78"/>
      <c r="H216" s="81">
        <v>43525</v>
      </c>
      <c r="I216" s="81">
        <v>43525</v>
      </c>
      <c r="J216" s="82">
        <v>3000000</v>
      </c>
      <c r="K216" s="117">
        <v>7.7499999999999999E-2</v>
      </c>
      <c r="L216" s="85">
        <v>0.9</v>
      </c>
      <c r="M216" s="83">
        <v>9</v>
      </c>
      <c r="N216" s="85">
        <v>12</v>
      </c>
      <c r="O216" s="83">
        <f t="shared" si="54"/>
        <v>156937.5</v>
      </c>
      <c r="P216" s="83">
        <f t="shared" si="55"/>
        <v>1819968.197694957</v>
      </c>
      <c r="Q216" s="83">
        <f t="shared" si="56"/>
        <v>95207.086341917442</v>
      </c>
      <c r="R216" s="83">
        <f t="shared" si="57"/>
        <v>61730.413658082558</v>
      </c>
      <c r="S216" s="84">
        <v>0.606656065898319</v>
      </c>
      <c r="T216" s="83"/>
      <c r="U216" s="85"/>
      <c r="V216" s="83">
        <f t="shared" si="52"/>
        <v>1819968.197694957</v>
      </c>
      <c r="W216" s="83">
        <f t="shared" si="52"/>
        <v>95207.086341917442</v>
      </c>
      <c r="X216" s="86">
        <f t="shared" si="53"/>
        <v>1819968.197694957</v>
      </c>
      <c r="Y216" s="86">
        <f t="shared" si="53"/>
        <v>95207.086341917442</v>
      </c>
      <c r="Z216" s="86">
        <v>94936.44</v>
      </c>
      <c r="AA216" s="86"/>
      <c r="AB216" s="86">
        <f t="shared" si="58"/>
        <v>270.64634191743971</v>
      </c>
      <c r="AC216" s="87">
        <v>-1162028.6220745386</v>
      </c>
      <c r="AD216" s="87">
        <f t="shared" si="45"/>
        <v>5173.645723630867</v>
      </c>
      <c r="AE216" s="87"/>
      <c r="AF216" s="88"/>
      <c r="AG216" s="88"/>
      <c r="AH216" s="88"/>
      <c r="AI216" s="88"/>
      <c r="AJ216" s="88"/>
      <c r="AK216" s="130">
        <f t="shared" si="49"/>
        <v>270.64634191743971</v>
      </c>
      <c r="AL216" s="130"/>
      <c r="AM216" s="130"/>
      <c r="AN216" s="130"/>
      <c r="AO216" s="130">
        <f t="shared" si="47"/>
        <v>270.64634191743971</v>
      </c>
      <c r="AP216" s="119">
        <f t="shared" si="46"/>
        <v>5820.3514390847249</v>
      </c>
      <c r="AQ216" s="182"/>
      <c r="AR216" s="182"/>
      <c r="AS216" s="183"/>
      <c r="AT216" s="183"/>
      <c r="AU216" s="183"/>
      <c r="AV216" s="183"/>
      <c r="AW216" s="186">
        <f t="shared" si="50"/>
        <v>5820.3514390847249</v>
      </c>
      <c r="AX216" s="186">
        <f t="shared" si="48"/>
        <v>7760.4685854462987</v>
      </c>
      <c r="AY216" s="221"/>
      <c r="AZ216" s="221"/>
      <c r="BA216" s="221"/>
    </row>
    <row r="217" spans="1:53" s="222" customFormat="1" ht="25.5">
      <c r="A217" s="77">
        <f t="shared" si="51"/>
        <v>208</v>
      </c>
      <c r="B217" s="78" t="s">
        <v>377</v>
      </c>
      <c r="C217" s="79" t="s">
        <v>378</v>
      </c>
      <c r="D217" s="78" t="s">
        <v>57</v>
      </c>
      <c r="E217" s="80" t="s">
        <v>58</v>
      </c>
      <c r="F217" s="78"/>
      <c r="G217" s="78"/>
      <c r="H217" s="81">
        <v>43497</v>
      </c>
      <c r="I217" s="81">
        <v>43497</v>
      </c>
      <c r="J217" s="82">
        <v>1000000</v>
      </c>
      <c r="K217" s="117">
        <v>7.7499999999999999E-2</v>
      </c>
      <c r="L217" s="85">
        <v>0.9</v>
      </c>
      <c r="M217" s="83">
        <v>10</v>
      </c>
      <c r="N217" s="85">
        <v>12</v>
      </c>
      <c r="O217" s="83">
        <f t="shared" si="54"/>
        <v>58125</v>
      </c>
      <c r="P217" s="83">
        <f t="shared" si="55"/>
        <v>606656.06589831901</v>
      </c>
      <c r="Q217" s="83">
        <f t="shared" si="56"/>
        <v>35261.883830339793</v>
      </c>
      <c r="R217" s="83">
        <f t="shared" si="57"/>
        <v>22863.116169660207</v>
      </c>
      <c r="S217" s="84">
        <v>0.606656065898319</v>
      </c>
      <c r="T217" s="83"/>
      <c r="U217" s="85"/>
      <c r="V217" s="83">
        <f t="shared" si="52"/>
        <v>606656.06589831901</v>
      </c>
      <c r="W217" s="83">
        <f t="shared" si="52"/>
        <v>35261.883830339793</v>
      </c>
      <c r="X217" s="86">
        <f t="shared" si="53"/>
        <v>606656.06589831901</v>
      </c>
      <c r="Y217" s="86">
        <f t="shared" si="53"/>
        <v>35261.883830339793</v>
      </c>
      <c r="Z217" s="86">
        <v>34259.67</v>
      </c>
      <c r="AA217" s="86"/>
      <c r="AB217" s="86">
        <f t="shared" si="58"/>
        <v>1002.2138303397951</v>
      </c>
      <c r="AC217" s="87">
        <v>-393343.93410168099</v>
      </c>
      <c r="AD217" s="87">
        <f t="shared" si="45"/>
        <v>19158.209421071351</v>
      </c>
      <c r="AE217" s="87"/>
      <c r="AF217" s="88"/>
      <c r="AG217" s="88"/>
      <c r="AH217" s="88"/>
      <c r="AI217" s="88"/>
      <c r="AJ217" s="88"/>
      <c r="AK217" s="130">
        <f t="shared" si="49"/>
        <v>1002.2138303397951</v>
      </c>
      <c r="AL217" s="130"/>
      <c r="AM217" s="130"/>
      <c r="AN217" s="130"/>
      <c r="AO217" s="130">
        <f t="shared" si="47"/>
        <v>1002.2138303397951</v>
      </c>
      <c r="AP217" s="119">
        <f t="shared" si="46"/>
        <v>21552.985598705272</v>
      </c>
      <c r="AQ217" s="182"/>
      <c r="AR217" s="182"/>
      <c r="AS217" s="183"/>
      <c r="AT217" s="183"/>
      <c r="AU217" s="183"/>
      <c r="AV217" s="183"/>
      <c r="AW217" s="186">
        <f t="shared" si="50"/>
        <v>21552.985598705272</v>
      </c>
      <c r="AX217" s="186">
        <f t="shared" si="48"/>
        <v>28737.314131607025</v>
      </c>
      <c r="AY217" s="221"/>
      <c r="AZ217" s="221"/>
      <c r="BA217" s="221"/>
    </row>
    <row r="218" spans="1:53" s="230" customFormat="1" ht="25.5">
      <c r="A218" s="120">
        <f t="shared" si="51"/>
        <v>209</v>
      </c>
      <c r="B218" s="80" t="s">
        <v>379</v>
      </c>
      <c r="C218" s="121" t="s">
        <v>380</v>
      </c>
      <c r="D218" s="80" t="s">
        <v>97</v>
      </c>
      <c r="E218" s="80"/>
      <c r="F218" s="80"/>
      <c r="G218" s="80"/>
      <c r="H218" s="122">
        <v>43497</v>
      </c>
      <c r="I218" s="122"/>
      <c r="J218" s="123"/>
      <c r="K218" s="124">
        <v>7.7499999999999999E-2</v>
      </c>
      <c r="L218" s="125">
        <v>0.9</v>
      </c>
      <c r="M218" s="126">
        <v>10</v>
      </c>
      <c r="N218" s="125">
        <v>12</v>
      </c>
      <c r="O218" s="126">
        <f t="shared" si="54"/>
        <v>0</v>
      </c>
      <c r="P218" s="126">
        <f t="shared" si="55"/>
        <v>0</v>
      </c>
      <c r="Q218" s="126">
        <f t="shared" si="56"/>
        <v>0</v>
      </c>
      <c r="R218" s="126">
        <f t="shared" si="57"/>
        <v>0</v>
      </c>
      <c r="S218" s="127">
        <v>0.606656065898319</v>
      </c>
      <c r="T218" s="126"/>
      <c r="U218" s="125"/>
      <c r="V218" s="126">
        <f t="shared" si="52"/>
        <v>0</v>
      </c>
      <c r="W218" s="126">
        <f t="shared" si="52"/>
        <v>0</v>
      </c>
      <c r="X218" s="128">
        <f t="shared" si="53"/>
        <v>0</v>
      </c>
      <c r="Y218" s="128">
        <f t="shared" si="53"/>
        <v>0</v>
      </c>
      <c r="Z218" s="128"/>
      <c r="AA218" s="128"/>
      <c r="AB218" s="128">
        <f t="shared" si="58"/>
        <v>0</v>
      </c>
      <c r="AC218" s="129">
        <v>0</v>
      </c>
      <c r="AD218" s="129">
        <f t="shared" si="45"/>
        <v>0</v>
      </c>
      <c r="AE218" s="129"/>
      <c r="AF218" s="130"/>
      <c r="AG218" s="130"/>
      <c r="AH218" s="130"/>
      <c r="AI218" s="130"/>
      <c r="AJ218" s="130"/>
      <c r="AK218" s="130">
        <f t="shared" si="49"/>
        <v>0</v>
      </c>
      <c r="AL218" s="130"/>
      <c r="AM218" s="130"/>
      <c r="AN218" s="130"/>
      <c r="AO218" s="130">
        <f t="shared" si="47"/>
        <v>0</v>
      </c>
      <c r="AP218" s="119">
        <f t="shared" si="46"/>
        <v>0</v>
      </c>
      <c r="AQ218" s="119"/>
      <c r="AR218" s="119"/>
      <c r="AS218" s="185"/>
      <c r="AT218" s="185"/>
      <c r="AU218" s="185"/>
      <c r="AV218" s="185"/>
      <c r="AW218" s="186">
        <f t="shared" si="50"/>
        <v>0</v>
      </c>
      <c r="AX218" s="186">
        <f t="shared" si="48"/>
        <v>0</v>
      </c>
      <c r="AY218" s="229"/>
      <c r="AZ218" s="229"/>
      <c r="BA218" s="229"/>
    </row>
    <row r="219" spans="1:53" s="230" customFormat="1" ht="25.5">
      <c r="A219" s="120">
        <f t="shared" si="51"/>
        <v>210</v>
      </c>
      <c r="B219" s="80" t="s">
        <v>379</v>
      </c>
      <c r="C219" s="121" t="s">
        <v>380</v>
      </c>
      <c r="D219" s="80" t="s">
        <v>97</v>
      </c>
      <c r="E219" s="80"/>
      <c r="F219" s="80"/>
      <c r="G219" s="80"/>
      <c r="H219" s="122">
        <v>43525</v>
      </c>
      <c r="I219" s="122"/>
      <c r="J219" s="123"/>
      <c r="K219" s="124">
        <v>7.7499999999999999E-2</v>
      </c>
      <c r="L219" s="125">
        <v>0.9</v>
      </c>
      <c r="M219" s="126">
        <v>9</v>
      </c>
      <c r="N219" s="125">
        <v>12</v>
      </c>
      <c r="O219" s="126">
        <f t="shared" si="54"/>
        <v>0</v>
      </c>
      <c r="P219" s="126">
        <f t="shared" si="55"/>
        <v>0</v>
      </c>
      <c r="Q219" s="126">
        <f t="shared" si="56"/>
        <v>0</v>
      </c>
      <c r="R219" s="126">
        <f t="shared" si="57"/>
        <v>0</v>
      </c>
      <c r="S219" s="127">
        <v>0.606656065898319</v>
      </c>
      <c r="T219" s="126"/>
      <c r="U219" s="125"/>
      <c r="V219" s="126">
        <f t="shared" si="52"/>
        <v>0</v>
      </c>
      <c r="W219" s="126">
        <f t="shared" si="52"/>
        <v>0</v>
      </c>
      <c r="X219" s="128">
        <f t="shared" si="53"/>
        <v>0</v>
      </c>
      <c r="Y219" s="128">
        <f t="shared" si="53"/>
        <v>0</v>
      </c>
      <c r="Z219" s="128"/>
      <c r="AA219" s="128"/>
      <c r="AB219" s="128">
        <f t="shared" si="58"/>
        <v>0</v>
      </c>
      <c r="AC219" s="129">
        <v>0</v>
      </c>
      <c r="AD219" s="129">
        <f t="shared" si="45"/>
        <v>0</v>
      </c>
      <c r="AE219" s="129"/>
      <c r="AF219" s="130"/>
      <c r="AG219" s="130"/>
      <c r="AH219" s="130"/>
      <c r="AI219" s="130"/>
      <c r="AJ219" s="130"/>
      <c r="AK219" s="130">
        <f t="shared" si="49"/>
        <v>0</v>
      </c>
      <c r="AL219" s="130"/>
      <c r="AM219" s="130"/>
      <c r="AN219" s="130"/>
      <c r="AO219" s="130">
        <f t="shared" si="47"/>
        <v>0</v>
      </c>
      <c r="AP219" s="119">
        <f t="shared" si="46"/>
        <v>0</v>
      </c>
      <c r="AQ219" s="119"/>
      <c r="AR219" s="119"/>
      <c r="AS219" s="185"/>
      <c r="AT219" s="185"/>
      <c r="AU219" s="185"/>
      <c r="AV219" s="185"/>
      <c r="AW219" s="186">
        <f t="shared" si="50"/>
        <v>0</v>
      </c>
      <c r="AX219" s="186">
        <f t="shared" si="48"/>
        <v>0</v>
      </c>
      <c r="AY219" s="229"/>
      <c r="AZ219" s="229"/>
      <c r="BA219" s="229"/>
    </row>
    <row r="220" spans="1:53" s="230" customFormat="1" ht="25.5">
      <c r="A220" s="120">
        <f t="shared" si="51"/>
        <v>211</v>
      </c>
      <c r="B220" s="80" t="s">
        <v>379</v>
      </c>
      <c r="C220" s="121" t="s">
        <v>380</v>
      </c>
      <c r="D220" s="80" t="s">
        <v>97</v>
      </c>
      <c r="E220" s="80"/>
      <c r="F220" s="80"/>
      <c r="G220" s="80"/>
      <c r="H220" s="122">
        <v>43556</v>
      </c>
      <c r="I220" s="122"/>
      <c r="J220" s="123"/>
      <c r="K220" s="124">
        <v>7.7499999999999999E-2</v>
      </c>
      <c r="L220" s="125">
        <v>0.9</v>
      </c>
      <c r="M220" s="126">
        <v>8</v>
      </c>
      <c r="N220" s="125">
        <v>12</v>
      </c>
      <c r="O220" s="126">
        <f t="shared" si="54"/>
        <v>0</v>
      </c>
      <c r="P220" s="126">
        <f t="shared" si="55"/>
        <v>0</v>
      </c>
      <c r="Q220" s="126">
        <f t="shared" si="56"/>
        <v>0</v>
      </c>
      <c r="R220" s="126">
        <f t="shared" si="57"/>
        <v>0</v>
      </c>
      <c r="S220" s="127">
        <v>0.606656065898319</v>
      </c>
      <c r="T220" s="126"/>
      <c r="U220" s="125"/>
      <c r="V220" s="126">
        <f t="shared" si="52"/>
        <v>0</v>
      </c>
      <c r="W220" s="126">
        <f t="shared" si="52"/>
        <v>0</v>
      </c>
      <c r="X220" s="128">
        <f t="shared" si="53"/>
        <v>0</v>
      </c>
      <c r="Y220" s="128">
        <f t="shared" si="53"/>
        <v>0</v>
      </c>
      <c r="Z220" s="128"/>
      <c r="AA220" s="128"/>
      <c r="AB220" s="128">
        <f t="shared" si="58"/>
        <v>0</v>
      </c>
      <c r="AC220" s="129">
        <v>0</v>
      </c>
      <c r="AD220" s="129">
        <f t="shared" si="45"/>
        <v>0</v>
      </c>
      <c r="AE220" s="129"/>
      <c r="AF220" s="130"/>
      <c r="AG220" s="130"/>
      <c r="AH220" s="130"/>
      <c r="AI220" s="130"/>
      <c r="AJ220" s="130"/>
      <c r="AK220" s="130">
        <f t="shared" si="49"/>
        <v>0</v>
      </c>
      <c r="AL220" s="130"/>
      <c r="AM220" s="130"/>
      <c r="AN220" s="130"/>
      <c r="AO220" s="130">
        <f t="shared" si="47"/>
        <v>0</v>
      </c>
      <c r="AP220" s="119">
        <f t="shared" si="46"/>
        <v>0</v>
      </c>
      <c r="AQ220" s="119"/>
      <c r="AR220" s="119"/>
      <c r="AS220" s="185"/>
      <c r="AT220" s="185"/>
      <c r="AU220" s="185"/>
      <c r="AV220" s="185"/>
      <c r="AW220" s="186">
        <f t="shared" si="50"/>
        <v>0</v>
      </c>
      <c r="AX220" s="186">
        <f t="shared" si="48"/>
        <v>0</v>
      </c>
      <c r="AY220" s="229"/>
      <c r="AZ220" s="229"/>
      <c r="BA220" s="229"/>
    </row>
    <row r="221" spans="1:53" s="230" customFormat="1" ht="25.5">
      <c r="A221" s="120">
        <f t="shared" si="51"/>
        <v>212</v>
      </c>
      <c r="B221" s="80" t="s">
        <v>379</v>
      </c>
      <c r="C221" s="121" t="s">
        <v>380</v>
      </c>
      <c r="D221" s="80" t="s">
        <v>97</v>
      </c>
      <c r="E221" s="80"/>
      <c r="F221" s="80"/>
      <c r="G221" s="80"/>
      <c r="H221" s="122">
        <v>43586</v>
      </c>
      <c r="I221" s="122"/>
      <c r="J221" s="123"/>
      <c r="K221" s="124">
        <v>7.7499999999999999E-2</v>
      </c>
      <c r="L221" s="125">
        <v>0.9</v>
      </c>
      <c r="M221" s="126">
        <v>7</v>
      </c>
      <c r="N221" s="125">
        <v>12</v>
      </c>
      <c r="O221" s="126">
        <f t="shared" si="54"/>
        <v>0</v>
      </c>
      <c r="P221" s="126">
        <f t="shared" si="55"/>
        <v>0</v>
      </c>
      <c r="Q221" s="126">
        <f t="shared" si="56"/>
        <v>0</v>
      </c>
      <c r="R221" s="126">
        <f t="shared" si="57"/>
        <v>0</v>
      </c>
      <c r="S221" s="127">
        <v>0.606656065898319</v>
      </c>
      <c r="T221" s="126"/>
      <c r="U221" s="125"/>
      <c r="V221" s="126">
        <f t="shared" si="52"/>
        <v>0</v>
      </c>
      <c r="W221" s="126">
        <f t="shared" si="52"/>
        <v>0</v>
      </c>
      <c r="X221" s="128">
        <f t="shared" si="53"/>
        <v>0</v>
      </c>
      <c r="Y221" s="128">
        <f t="shared" si="53"/>
        <v>0</v>
      </c>
      <c r="Z221" s="128"/>
      <c r="AA221" s="128"/>
      <c r="AB221" s="128">
        <f t="shared" si="58"/>
        <v>0</v>
      </c>
      <c r="AC221" s="129">
        <v>0</v>
      </c>
      <c r="AD221" s="129">
        <f t="shared" si="45"/>
        <v>0</v>
      </c>
      <c r="AE221" s="129"/>
      <c r="AF221" s="130"/>
      <c r="AG221" s="130"/>
      <c r="AH221" s="130"/>
      <c r="AI221" s="130"/>
      <c r="AJ221" s="130"/>
      <c r="AK221" s="130">
        <f t="shared" si="49"/>
        <v>0</v>
      </c>
      <c r="AL221" s="130"/>
      <c r="AM221" s="130"/>
      <c r="AN221" s="130"/>
      <c r="AO221" s="130">
        <f t="shared" si="47"/>
        <v>0</v>
      </c>
      <c r="AP221" s="119">
        <f t="shared" si="46"/>
        <v>0</v>
      </c>
      <c r="AQ221" s="119"/>
      <c r="AR221" s="119"/>
      <c r="AS221" s="185"/>
      <c r="AT221" s="185"/>
      <c r="AU221" s="185"/>
      <c r="AV221" s="185"/>
      <c r="AW221" s="186">
        <f t="shared" si="50"/>
        <v>0</v>
      </c>
      <c r="AX221" s="186">
        <f t="shared" si="48"/>
        <v>0</v>
      </c>
      <c r="AY221" s="229"/>
      <c r="AZ221" s="229"/>
      <c r="BA221" s="229"/>
    </row>
    <row r="222" spans="1:53" s="230" customFormat="1" ht="25.5">
      <c r="A222" s="120">
        <f t="shared" si="51"/>
        <v>213</v>
      </c>
      <c r="B222" s="80" t="s">
        <v>379</v>
      </c>
      <c r="C222" s="121" t="s">
        <v>380</v>
      </c>
      <c r="D222" s="80" t="s">
        <v>97</v>
      </c>
      <c r="E222" s="80"/>
      <c r="F222" s="80"/>
      <c r="G222" s="80"/>
      <c r="H222" s="122">
        <v>43617</v>
      </c>
      <c r="I222" s="122"/>
      <c r="J222" s="123"/>
      <c r="K222" s="124">
        <v>7.7499999999999999E-2</v>
      </c>
      <c r="L222" s="125">
        <v>0.9</v>
      </c>
      <c r="M222" s="126">
        <v>6</v>
      </c>
      <c r="N222" s="125">
        <v>12</v>
      </c>
      <c r="O222" s="126">
        <f t="shared" si="54"/>
        <v>0</v>
      </c>
      <c r="P222" s="126">
        <f t="shared" si="55"/>
        <v>0</v>
      </c>
      <c r="Q222" s="126">
        <f t="shared" si="56"/>
        <v>0</v>
      </c>
      <c r="R222" s="126">
        <f t="shared" si="57"/>
        <v>0</v>
      </c>
      <c r="S222" s="127">
        <v>0.606656065898319</v>
      </c>
      <c r="T222" s="126"/>
      <c r="U222" s="125"/>
      <c r="V222" s="126">
        <f t="shared" si="52"/>
        <v>0</v>
      </c>
      <c r="W222" s="126">
        <f t="shared" si="52"/>
        <v>0</v>
      </c>
      <c r="X222" s="128">
        <f t="shared" si="53"/>
        <v>0</v>
      </c>
      <c r="Y222" s="128">
        <f t="shared" si="53"/>
        <v>0</v>
      </c>
      <c r="Z222" s="128"/>
      <c r="AA222" s="128"/>
      <c r="AB222" s="128">
        <f t="shared" si="58"/>
        <v>0</v>
      </c>
      <c r="AC222" s="129">
        <v>0</v>
      </c>
      <c r="AD222" s="129">
        <f t="shared" si="45"/>
        <v>0</v>
      </c>
      <c r="AE222" s="129"/>
      <c r="AF222" s="130"/>
      <c r="AG222" s="130"/>
      <c r="AH222" s="130"/>
      <c r="AI222" s="130"/>
      <c r="AJ222" s="130"/>
      <c r="AK222" s="130">
        <f t="shared" si="49"/>
        <v>0</v>
      </c>
      <c r="AL222" s="130"/>
      <c r="AM222" s="130"/>
      <c r="AN222" s="130"/>
      <c r="AO222" s="130">
        <f t="shared" si="47"/>
        <v>0</v>
      </c>
      <c r="AP222" s="119">
        <f t="shared" si="46"/>
        <v>0</v>
      </c>
      <c r="AQ222" s="119"/>
      <c r="AR222" s="119"/>
      <c r="AS222" s="185"/>
      <c r="AT222" s="185"/>
      <c r="AU222" s="185"/>
      <c r="AV222" s="185"/>
      <c r="AW222" s="186">
        <f t="shared" si="50"/>
        <v>0</v>
      </c>
      <c r="AX222" s="186">
        <f t="shared" si="48"/>
        <v>0</v>
      </c>
      <c r="AY222" s="229"/>
      <c r="AZ222" s="229"/>
      <c r="BA222" s="229"/>
    </row>
    <row r="223" spans="1:53" s="230" customFormat="1" ht="25.5">
      <c r="A223" s="120">
        <f t="shared" si="51"/>
        <v>214</v>
      </c>
      <c r="B223" s="80" t="s">
        <v>379</v>
      </c>
      <c r="C223" s="121" t="s">
        <v>380</v>
      </c>
      <c r="D223" s="80" t="s">
        <v>97</v>
      </c>
      <c r="E223" s="80"/>
      <c r="F223" s="80"/>
      <c r="G223" s="80"/>
      <c r="H223" s="122">
        <v>43647</v>
      </c>
      <c r="I223" s="122"/>
      <c r="J223" s="123"/>
      <c r="K223" s="124">
        <v>7.7499999999999999E-2</v>
      </c>
      <c r="L223" s="125">
        <v>0.9</v>
      </c>
      <c r="M223" s="126">
        <v>5</v>
      </c>
      <c r="N223" s="125">
        <v>12</v>
      </c>
      <c r="O223" s="126">
        <f t="shared" si="54"/>
        <v>0</v>
      </c>
      <c r="P223" s="126">
        <f t="shared" si="55"/>
        <v>0</v>
      </c>
      <c r="Q223" s="126">
        <f t="shared" si="56"/>
        <v>0</v>
      </c>
      <c r="R223" s="126">
        <f t="shared" si="57"/>
        <v>0</v>
      </c>
      <c r="S223" s="127">
        <v>0.606656065898319</v>
      </c>
      <c r="T223" s="126"/>
      <c r="U223" s="125"/>
      <c r="V223" s="126">
        <f t="shared" si="52"/>
        <v>0</v>
      </c>
      <c r="W223" s="126">
        <f t="shared" si="52"/>
        <v>0</v>
      </c>
      <c r="X223" s="128">
        <f t="shared" si="53"/>
        <v>0</v>
      </c>
      <c r="Y223" s="128">
        <f t="shared" si="53"/>
        <v>0</v>
      </c>
      <c r="Z223" s="128"/>
      <c r="AA223" s="128"/>
      <c r="AB223" s="128">
        <f t="shared" si="58"/>
        <v>0</v>
      </c>
      <c r="AC223" s="129">
        <v>0</v>
      </c>
      <c r="AD223" s="129">
        <f t="shared" si="45"/>
        <v>0</v>
      </c>
      <c r="AE223" s="129"/>
      <c r="AF223" s="130"/>
      <c r="AG223" s="130"/>
      <c r="AH223" s="130"/>
      <c r="AI223" s="130"/>
      <c r="AJ223" s="130"/>
      <c r="AK223" s="130">
        <f t="shared" si="49"/>
        <v>0</v>
      </c>
      <c r="AL223" s="130"/>
      <c r="AM223" s="130"/>
      <c r="AN223" s="130"/>
      <c r="AO223" s="130">
        <f t="shared" si="47"/>
        <v>0</v>
      </c>
      <c r="AP223" s="119">
        <f t="shared" si="46"/>
        <v>0</v>
      </c>
      <c r="AQ223" s="119"/>
      <c r="AR223" s="119"/>
      <c r="AS223" s="185"/>
      <c r="AT223" s="185"/>
      <c r="AU223" s="185"/>
      <c r="AV223" s="185"/>
      <c r="AW223" s="186">
        <f t="shared" si="50"/>
        <v>0</v>
      </c>
      <c r="AX223" s="186">
        <f t="shared" si="48"/>
        <v>0</v>
      </c>
      <c r="AY223" s="229"/>
      <c r="AZ223" s="229"/>
      <c r="BA223" s="229"/>
    </row>
    <row r="224" spans="1:53" s="230" customFormat="1" ht="25.5">
      <c r="A224" s="120">
        <f t="shared" si="51"/>
        <v>215</v>
      </c>
      <c r="B224" s="80" t="s">
        <v>379</v>
      </c>
      <c r="C224" s="121" t="s">
        <v>380</v>
      </c>
      <c r="D224" s="80" t="s">
        <v>97</v>
      </c>
      <c r="E224" s="80"/>
      <c r="F224" s="80"/>
      <c r="G224" s="80"/>
      <c r="H224" s="122">
        <v>43678</v>
      </c>
      <c r="I224" s="122"/>
      <c r="J224" s="123"/>
      <c r="K224" s="124">
        <v>7.7499999999999999E-2</v>
      </c>
      <c r="L224" s="125">
        <v>0.9</v>
      </c>
      <c r="M224" s="126">
        <v>4</v>
      </c>
      <c r="N224" s="125">
        <v>12</v>
      </c>
      <c r="O224" s="126">
        <f t="shared" si="54"/>
        <v>0</v>
      </c>
      <c r="P224" s="126">
        <f t="shared" si="55"/>
        <v>0</v>
      </c>
      <c r="Q224" s="126">
        <f t="shared" si="56"/>
        <v>0</v>
      </c>
      <c r="R224" s="126">
        <f t="shared" si="57"/>
        <v>0</v>
      </c>
      <c r="S224" s="127">
        <v>0.606656065898319</v>
      </c>
      <c r="T224" s="126"/>
      <c r="U224" s="125"/>
      <c r="V224" s="126">
        <f t="shared" si="52"/>
        <v>0</v>
      </c>
      <c r="W224" s="126">
        <f t="shared" si="52"/>
        <v>0</v>
      </c>
      <c r="X224" s="128">
        <f t="shared" si="53"/>
        <v>0</v>
      </c>
      <c r="Y224" s="128">
        <f t="shared" si="53"/>
        <v>0</v>
      </c>
      <c r="Z224" s="128"/>
      <c r="AA224" s="128"/>
      <c r="AB224" s="128">
        <f t="shared" si="58"/>
        <v>0</v>
      </c>
      <c r="AC224" s="129">
        <v>0</v>
      </c>
      <c r="AD224" s="129">
        <f t="shared" si="45"/>
        <v>0</v>
      </c>
      <c r="AE224" s="129"/>
      <c r="AF224" s="130"/>
      <c r="AG224" s="130"/>
      <c r="AH224" s="130"/>
      <c r="AI224" s="130"/>
      <c r="AJ224" s="130"/>
      <c r="AK224" s="130">
        <f t="shared" si="49"/>
        <v>0</v>
      </c>
      <c r="AL224" s="130"/>
      <c r="AM224" s="130"/>
      <c r="AN224" s="130"/>
      <c r="AO224" s="130">
        <f t="shared" si="47"/>
        <v>0</v>
      </c>
      <c r="AP224" s="119">
        <f t="shared" si="46"/>
        <v>0</v>
      </c>
      <c r="AQ224" s="119"/>
      <c r="AR224" s="119"/>
      <c r="AS224" s="185"/>
      <c r="AT224" s="185"/>
      <c r="AU224" s="185"/>
      <c r="AV224" s="185"/>
      <c r="AW224" s="186">
        <f t="shared" si="50"/>
        <v>0</v>
      </c>
      <c r="AX224" s="186">
        <f t="shared" si="48"/>
        <v>0</v>
      </c>
      <c r="AY224" s="229"/>
      <c r="AZ224" s="229"/>
      <c r="BA224" s="229"/>
    </row>
    <row r="225" spans="1:53" s="230" customFormat="1" ht="25.5">
      <c r="A225" s="120">
        <f t="shared" si="51"/>
        <v>216</v>
      </c>
      <c r="B225" s="80" t="s">
        <v>379</v>
      </c>
      <c r="C225" s="121" t="s">
        <v>380</v>
      </c>
      <c r="D225" s="80" t="s">
        <v>97</v>
      </c>
      <c r="E225" s="80"/>
      <c r="F225" s="80"/>
      <c r="G225" s="80"/>
      <c r="H225" s="122">
        <v>43709</v>
      </c>
      <c r="I225" s="122"/>
      <c r="J225" s="123"/>
      <c r="K225" s="124">
        <v>7.7499999999999999E-2</v>
      </c>
      <c r="L225" s="125">
        <v>0.9</v>
      </c>
      <c r="M225" s="126">
        <v>3</v>
      </c>
      <c r="N225" s="125">
        <v>12</v>
      </c>
      <c r="O225" s="126">
        <f t="shared" si="54"/>
        <v>0</v>
      </c>
      <c r="P225" s="126">
        <f t="shared" si="55"/>
        <v>0</v>
      </c>
      <c r="Q225" s="126">
        <f t="shared" si="56"/>
        <v>0</v>
      </c>
      <c r="R225" s="126">
        <f t="shared" si="57"/>
        <v>0</v>
      </c>
      <c r="S225" s="127">
        <v>0.606656065898319</v>
      </c>
      <c r="T225" s="126"/>
      <c r="U225" s="125"/>
      <c r="V225" s="126">
        <f t="shared" si="52"/>
        <v>0</v>
      </c>
      <c r="W225" s="126">
        <f t="shared" si="52"/>
        <v>0</v>
      </c>
      <c r="X225" s="128">
        <f t="shared" si="53"/>
        <v>0</v>
      </c>
      <c r="Y225" s="128">
        <f t="shared" si="53"/>
        <v>0</v>
      </c>
      <c r="Z225" s="128"/>
      <c r="AA225" s="128"/>
      <c r="AB225" s="128">
        <f t="shared" si="58"/>
        <v>0</v>
      </c>
      <c r="AC225" s="129">
        <v>0</v>
      </c>
      <c r="AD225" s="129">
        <f t="shared" si="45"/>
        <v>0</v>
      </c>
      <c r="AE225" s="129"/>
      <c r="AF225" s="130"/>
      <c r="AG225" s="130"/>
      <c r="AH225" s="130"/>
      <c r="AI225" s="130"/>
      <c r="AJ225" s="130"/>
      <c r="AK225" s="130">
        <f t="shared" si="49"/>
        <v>0</v>
      </c>
      <c r="AL225" s="130"/>
      <c r="AM225" s="130"/>
      <c r="AN225" s="130"/>
      <c r="AO225" s="130">
        <f t="shared" si="47"/>
        <v>0</v>
      </c>
      <c r="AP225" s="119">
        <f t="shared" si="46"/>
        <v>0</v>
      </c>
      <c r="AQ225" s="119"/>
      <c r="AR225" s="119"/>
      <c r="AS225" s="185"/>
      <c r="AT225" s="185"/>
      <c r="AU225" s="185"/>
      <c r="AV225" s="185"/>
      <c r="AW225" s="186">
        <f t="shared" si="50"/>
        <v>0</v>
      </c>
      <c r="AX225" s="186">
        <f t="shared" si="48"/>
        <v>0</v>
      </c>
      <c r="AY225" s="229"/>
      <c r="AZ225" s="229"/>
      <c r="BA225" s="229"/>
    </row>
    <row r="226" spans="1:53" s="230" customFormat="1" ht="25.5">
      <c r="A226" s="120">
        <f t="shared" si="51"/>
        <v>217</v>
      </c>
      <c r="B226" s="80" t="s">
        <v>379</v>
      </c>
      <c r="C226" s="121" t="s">
        <v>380</v>
      </c>
      <c r="D226" s="80" t="s">
        <v>97</v>
      </c>
      <c r="E226" s="80"/>
      <c r="F226" s="80"/>
      <c r="G226" s="80"/>
      <c r="H226" s="122">
        <v>43739</v>
      </c>
      <c r="I226" s="122"/>
      <c r="J226" s="123"/>
      <c r="K226" s="124">
        <v>7.7499999999999999E-2</v>
      </c>
      <c r="L226" s="125">
        <v>0.9</v>
      </c>
      <c r="M226" s="126">
        <v>2</v>
      </c>
      <c r="N226" s="125">
        <v>12</v>
      </c>
      <c r="O226" s="126">
        <f t="shared" si="54"/>
        <v>0</v>
      </c>
      <c r="P226" s="126">
        <f t="shared" si="55"/>
        <v>0</v>
      </c>
      <c r="Q226" s="126">
        <f t="shared" si="56"/>
        <v>0</v>
      </c>
      <c r="R226" s="126">
        <f t="shared" si="57"/>
        <v>0</v>
      </c>
      <c r="S226" s="127">
        <v>0.606656065898319</v>
      </c>
      <c r="T226" s="126"/>
      <c r="U226" s="125"/>
      <c r="V226" s="126">
        <f t="shared" si="52"/>
        <v>0</v>
      </c>
      <c r="W226" s="126">
        <f t="shared" si="52"/>
        <v>0</v>
      </c>
      <c r="X226" s="128">
        <f t="shared" si="53"/>
        <v>0</v>
      </c>
      <c r="Y226" s="128">
        <f t="shared" si="53"/>
        <v>0</v>
      </c>
      <c r="Z226" s="128"/>
      <c r="AA226" s="128"/>
      <c r="AB226" s="128">
        <f t="shared" si="58"/>
        <v>0</v>
      </c>
      <c r="AC226" s="129">
        <v>0</v>
      </c>
      <c r="AD226" s="129">
        <f t="shared" si="45"/>
        <v>0</v>
      </c>
      <c r="AE226" s="129"/>
      <c r="AF226" s="130"/>
      <c r="AG226" s="130"/>
      <c r="AH226" s="130"/>
      <c r="AI226" s="130"/>
      <c r="AJ226" s="130"/>
      <c r="AK226" s="130">
        <f t="shared" si="49"/>
        <v>0</v>
      </c>
      <c r="AL226" s="130"/>
      <c r="AM226" s="130"/>
      <c r="AN226" s="130"/>
      <c r="AO226" s="130">
        <f t="shared" si="47"/>
        <v>0</v>
      </c>
      <c r="AP226" s="119">
        <f t="shared" si="46"/>
        <v>0</v>
      </c>
      <c r="AQ226" s="119"/>
      <c r="AR226" s="119"/>
      <c r="AS226" s="185"/>
      <c r="AT226" s="185"/>
      <c r="AU226" s="185"/>
      <c r="AV226" s="185"/>
      <c r="AW226" s="186">
        <f t="shared" si="50"/>
        <v>0</v>
      </c>
      <c r="AX226" s="186">
        <f t="shared" si="48"/>
        <v>0</v>
      </c>
      <c r="AY226" s="229"/>
      <c r="AZ226" s="229"/>
      <c r="BA226" s="229"/>
    </row>
    <row r="227" spans="1:53" s="230" customFormat="1" ht="25.5">
      <c r="A227" s="120">
        <f t="shared" si="51"/>
        <v>218</v>
      </c>
      <c r="B227" s="80" t="s">
        <v>379</v>
      </c>
      <c r="C227" s="121" t="s">
        <v>380</v>
      </c>
      <c r="D227" s="80" t="s">
        <v>97</v>
      </c>
      <c r="E227" s="80"/>
      <c r="F227" s="80"/>
      <c r="G227" s="80"/>
      <c r="H227" s="122">
        <v>43770</v>
      </c>
      <c r="I227" s="122"/>
      <c r="J227" s="123"/>
      <c r="K227" s="124">
        <v>7.7499999999999999E-2</v>
      </c>
      <c r="L227" s="125">
        <v>0.9</v>
      </c>
      <c r="M227" s="126">
        <v>1</v>
      </c>
      <c r="N227" s="125">
        <v>12</v>
      </c>
      <c r="O227" s="126">
        <f t="shared" si="54"/>
        <v>0</v>
      </c>
      <c r="P227" s="126">
        <f t="shared" si="55"/>
        <v>0</v>
      </c>
      <c r="Q227" s="126">
        <f t="shared" si="56"/>
        <v>0</v>
      </c>
      <c r="R227" s="126">
        <f t="shared" si="57"/>
        <v>0</v>
      </c>
      <c r="S227" s="127">
        <v>0.606656065898319</v>
      </c>
      <c r="T227" s="126"/>
      <c r="U227" s="125"/>
      <c r="V227" s="126">
        <f t="shared" si="52"/>
        <v>0</v>
      </c>
      <c r="W227" s="126">
        <f t="shared" si="52"/>
        <v>0</v>
      </c>
      <c r="X227" s="128">
        <f t="shared" si="53"/>
        <v>0</v>
      </c>
      <c r="Y227" s="128">
        <f t="shared" si="53"/>
        <v>0</v>
      </c>
      <c r="Z227" s="128"/>
      <c r="AA227" s="128"/>
      <c r="AB227" s="128">
        <f t="shared" si="58"/>
        <v>0</v>
      </c>
      <c r="AC227" s="129">
        <v>0</v>
      </c>
      <c r="AD227" s="129">
        <f t="shared" si="45"/>
        <v>0</v>
      </c>
      <c r="AE227" s="129"/>
      <c r="AF227" s="130"/>
      <c r="AG227" s="130"/>
      <c r="AH227" s="130"/>
      <c r="AI227" s="130"/>
      <c r="AJ227" s="130"/>
      <c r="AK227" s="130">
        <f t="shared" si="49"/>
        <v>0</v>
      </c>
      <c r="AL227" s="130"/>
      <c r="AM227" s="130"/>
      <c r="AN227" s="130"/>
      <c r="AO227" s="130">
        <f t="shared" si="47"/>
        <v>0</v>
      </c>
      <c r="AP227" s="119">
        <f t="shared" si="46"/>
        <v>0</v>
      </c>
      <c r="AQ227" s="119"/>
      <c r="AR227" s="119"/>
      <c r="AS227" s="185"/>
      <c r="AT227" s="185"/>
      <c r="AU227" s="185"/>
      <c r="AV227" s="185"/>
      <c r="AW227" s="186">
        <f t="shared" si="50"/>
        <v>0</v>
      </c>
      <c r="AX227" s="186">
        <f t="shared" si="48"/>
        <v>0</v>
      </c>
      <c r="AY227" s="229"/>
      <c r="AZ227" s="229"/>
      <c r="BA227" s="229"/>
    </row>
    <row r="228" spans="1:53" s="230" customFormat="1" ht="25.5">
      <c r="A228" s="120">
        <f t="shared" si="51"/>
        <v>219</v>
      </c>
      <c r="B228" s="80" t="s">
        <v>379</v>
      </c>
      <c r="C228" s="121" t="s">
        <v>380</v>
      </c>
      <c r="D228" s="80" t="s">
        <v>97</v>
      </c>
      <c r="E228" s="80"/>
      <c r="F228" s="80"/>
      <c r="G228" s="80"/>
      <c r="H228" s="122">
        <v>43800</v>
      </c>
      <c r="I228" s="122"/>
      <c r="J228" s="123"/>
      <c r="K228" s="124">
        <v>7.7499999999999999E-2</v>
      </c>
      <c r="L228" s="125">
        <v>0.9</v>
      </c>
      <c r="M228" s="126">
        <v>0</v>
      </c>
      <c r="N228" s="125">
        <v>12</v>
      </c>
      <c r="O228" s="126">
        <f t="shared" si="54"/>
        <v>0</v>
      </c>
      <c r="P228" s="126">
        <f t="shared" si="55"/>
        <v>0</v>
      </c>
      <c r="Q228" s="126">
        <f t="shared" si="56"/>
        <v>0</v>
      </c>
      <c r="R228" s="126">
        <f t="shared" si="57"/>
        <v>0</v>
      </c>
      <c r="S228" s="127">
        <v>0.606656065898319</v>
      </c>
      <c r="T228" s="126"/>
      <c r="U228" s="125"/>
      <c r="V228" s="126">
        <f t="shared" si="52"/>
        <v>0</v>
      </c>
      <c r="W228" s="126">
        <f t="shared" si="52"/>
        <v>0</v>
      </c>
      <c r="X228" s="128">
        <f t="shared" si="53"/>
        <v>0</v>
      </c>
      <c r="Y228" s="128">
        <f t="shared" si="53"/>
        <v>0</v>
      </c>
      <c r="Z228" s="128"/>
      <c r="AA228" s="128"/>
      <c r="AB228" s="128">
        <f t="shared" si="58"/>
        <v>0</v>
      </c>
      <c r="AC228" s="129">
        <v>0</v>
      </c>
      <c r="AD228" s="129">
        <f t="shared" si="45"/>
        <v>0</v>
      </c>
      <c r="AE228" s="129"/>
      <c r="AF228" s="130"/>
      <c r="AG228" s="130"/>
      <c r="AH228" s="130"/>
      <c r="AI228" s="130"/>
      <c r="AJ228" s="130"/>
      <c r="AK228" s="130">
        <f t="shared" si="49"/>
        <v>0</v>
      </c>
      <c r="AL228" s="130"/>
      <c r="AM228" s="130"/>
      <c r="AN228" s="130"/>
      <c r="AO228" s="130">
        <f t="shared" si="47"/>
        <v>0</v>
      </c>
      <c r="AP228" s="119">
        <f t="shared" si="46"/>
        <v>0</v>
      </c>
      <c r="AQ228" s="119"/>
      <c r="AR228" s="119"/>
      <c r="AS228" s="185"/>
      <c r="AT228" s="185"/>
      <c r="AU228" s="185"/>
      <c r="AV228" s="185"/>
      <c r="AW228" s="186">
        <f t="shared" si="50"/>
        <v>0</v>
      </c>
      <c r="AX228" s="186">
        <f t="shared" si="48"/>
        <v>0</v>
      </c>
      <c r="AY228" s="229"/>
      <c r="AZ228" s="229"/>
      <c r="BA228" s="229"/>
    </row>
    <row r="229" spans="1:53" s="222" customFormat="1" ht="25.5">
      <c r="A229" s="77">
        <f>A217+1</f>
        <v>209</v>
      </c>
      <c r="B229" s="78" t="s">
        <v>381</v>
      </c>
      <c r="C229" s="79" t="s">
        <v>382</v>
      </c>
      <c r="D229" s="78" t="s">
        <v>105</v>
      </c>
      <c r="E229" s="80" t="s">
        <v>85</v>
      </c>
      <c r="F229" s="78"/>
      <c r="G229" s="78"/>
      <c r="H229" s="81">
        <v>43497</v>
      </c>
      <c r="I229" s="81">
        <v>43497</v>
      </c>
      <c r="J229" s="82">
        <v>60000000</v>
      </c>
      <c r="K229" s="117">
        <v>7.7499999999999999E-2</v>
      </c>
      <c r="L229" s="85">
        <v>0.9</v>
      </c>
      <c r="M229" s="83">
        <v>10</v>
      </c>
      <c r="N229" s="85">
        <v>12</v>
      </c>
      <c r="O229" s="83">
        <f t="shared" si="54"/>
        <v>3487500</v>
      </c>
      <c r="P229" s="83">
        <f t="shared" si="55"/>
        <v>36399363.953899138</v>
      </c>
      <c r="Q229" s="83">
        <f t="shared" si="56"/>
        <v>2115713.0298203877</v>
      </c>
      <c r="R229" s="83">
        <f t="shared" si="57"/>
        <v>1371786.9701796123</v>
      </c>
      <c r="S229" s="84">
        <v>0.606656065898319</v>
      </c>
      <c r="T229" s="83"/>
      <c r="U229" s="85"/>
      <c r="V229" s="83">
        <f t="shared" si="52"/>
        <v>36399363.953899138</v>
      </c>
      <c r="W229" s="83">
        <f t="shared" si="52"/>
        <v>2115713.0298203877</v>
      </c>
      <c r="X229" s="86">
        <f t="shared" si="53"/>
        <v>36399363.953899138</v>
      </c>
      <c r="Y229" s="86">
        <f>SUM(W229)-532354.75</f>
        <v>1583358.2798203877</v>
      </c>
      <c r="Z229" s="86">
        <f>3487499.99-Z230-Z231</f>
        <v>1583358.28</v>
      </c>
      <c r="AA229" s="86"/>
      <c r="AB229" s="86">
        <f t="shared" si="58"/>
        <v>-1.7961231060326099E-4</v>
      </c>
      <c r="AC229" s="87">
        <v>0.11455891281366348</v>
      </c>
      <c r="AD229" s="87">
        <f t="shared" si="45"/>
        <v>-3.433449187159111E-3</v>
      </c>
      <c r="AE229" s="87"/>
      <c r="AF229" s="88"/>
      <c r="AG229" s="88"/>
      <c r="AH229" s="88"/>
      <c r="AI229" s="88"/>
      <c r="AJ229" s="88"/>
      <c r="AK229" s="130">
        <f t="shared" si="49"/>
        <v>-1.7961231060326099E-4</v>
      </c>
      <c r="AL229" s="130"/>
      <c r="AM229" s="130"/>
      <c r="AN229" s="130"/>
      <c r="AO229" s="130">
        <f t="shared" si="47"/>
        <v>-1.7961231060326099E-4</v>
      </c>
      <c r="AP229" s="119">
        <f t="shared" si="46"/>
        <v>-3.8626303355540001E-3</v>
      </c>
      <c r="AQ229" s="182"/>
      <c r="AR229" s="182"/>
      <c r="AS229" s="183"/>
      <c r="AT229" s="183"/>
      <c r="AU229" s="183"/>
      <c r="AV229" s="183"/>
      <c r="AW229" s="186">
        <f t="shared" si="50"/>
        <v>-3.8626303355540001E-3</v>
      </c>
      <c r="AX229" s="186">
        <f t="shared" si="48"/>
        <v>-5.1501737807386665E-3</v>
      </c>
      <c r="AY229" s="221"/>
      <c r="AZ229" s="221"/>
      <c r="BA229" s="221"/>
    </row>
    <row r="230" spans="1:53" s="222" customFormat="1" ht="25.5">
      <c r="A230" s="77">
        <f t="shared" si="51"/>
        <v>210</v>
      </c>
      <c r="B230" s="78" t="s">
        <v>381</v>
      </c>
      <c r="C230" s="79" t="s">
        <v>382</v>
      </c>
      <c r="D230" s="78" t="s">
        <v>105</v>
      </c>
      <c r="E230" s="80"/>
      <c r="F230" s="78"/>
      <c r="G230" s="78"/>
      <c r="H230" s="81">
        <v>43586</v>
      </c>
      <c r="I230" s="81">
        <v>43586</v>
      </c>
      <c r="J230" s="82">
        <v>60000000</v>
      </c>
      <c r="K230" s="117">
        <v>7.7499999999999999E-2</v>
      </c>
      <c r="L230" s="85">
        <v>0.9</v>
      </c>
      <c r="M230" s="83">
        <v>7</v>
      </c>
      <c r="N230" s="85">
        <v>12</v>
      </c>
      <c r="O230" s="83">
        <f t="shared" si="54"/>
        <v>2441250</v>
      </c>
      <c r="P230" s="83">
        <f t="shared" si="55"/>
        <v>36399363.953899138</v>
      </c>
      <c r="Q230" s="83">
        <f t="shared" si="56"/>
        <v>1480999.120874271</v>
      </c>
      <c r="R230" s="83">
        <f t="shared" si="57"/>
        <v>960250.87912572897</v>
      </c>
      <c r="S230" s="84">
        <v>0.606656065898319</v>
      </c>
      <c r="T230" s="83"/>
      <c r="U230" s="85"/>
      <c r="V230" s="83">
        <f t="shared" si="52"/>
        <v>36399363.953899138</v>
      </c>
      <c r="W230" s="83">
        <f t="shared" si="52"/>
        <v>1480999.120874271</v>
      </c>
      <c r="X230" s="86">
        <f t="shared" si="53"/>
        <v>36399363.953899138</v>
      </c>
      <c r="Y230" s="86">
        <f t="shared" si="53"/>
        <v>1480999.120874271</v>
      </c>
      <c r="Z230" s="86">
        <v>1480999.12</v>
      </c>
      <c r="AA230" s="86"/>
      <c r="AB230" s="86">
        <f t="shared" si="58"/>
        <v>8.7427091784775257E-4</v>
      </c>
      <c r="AC230" s="87">
        <v>0</v>
      </c>
      <c r="AD230" s="87">
        <f t="shared" si="45"/>
        <v>1.6712466768893718E-2</v>
      </c>
      <c r="AE230" s="87"/>
      <c r="AF230" s="88"/>
      <c r="AG230" s="88"/>
      <c r="AH230" s="88"/>
      <c r="AI230" s="88"/>
      <c r="AJ230" s="88"/>
      <c r="AK230" s="130">
        <f t="shared" si="49"/>
        <v>8.7427091784775257E-4</v>
      </c>
      <c r="AL230" s="130"/>
      <c r="AM230" s="130"/>
      <c r="AN230" s="130"/>
      <c r="AO230" s="130">
        <f t="shared" si="47"/>
        <v>8.7427091784775257E-4</v>
      </c>
      <c r="AP230" s="119">
        <f t="shared" si="46"/>
        <v>1.8801525115005432E-2</v>
      </c>
      <c r="AQ230" s="182"/>
      <c r="AR230" s="182"/>
      <c r="AS230" s="183"/>
      <c r="AT230" s="183"/>
      <c r="AU230" s="183"/>
      <c r="AV230" s="183"/>
      <c r="AW230" s="186">
        <f t="shared" si="50"/>
        <v>1.8801525115005432E-2</v>
      </c>
      <c r="AX230" s="186">
        <f t="shared" si="48"/>
        <v>2.5068700153340576E-2</v>
      </c>
      <c r="AY230" s="221"/>
      <c r="AZ230" s="221"/>
      <c r="BA230" s="221"/>
    </row>
    <row r="231" spans="1:53" s="222" customFormat="1" ht="25.5">
      <c r="A231" s="77">
        <f t="shared" si="51"/>
        <v>211</v>
      </c>
      <c r="B231" s="78" t="s">
        <v>381</v>
      </c>
      <c r="C231" s="79" t="s">
        <v>382</v>
      </c>
      <c r="D231" s="78" t="s">
        <v>105</v>
      </c>
      <c r="E231" s="80"/>
      <c r="F231" s="78"/>
      <c r="G231" s="78"/>
      <c r="H231" s="81">
        <v>43739</v>
      </c>
      <c r="I231" s="81">
        <v>43739</v>
      </c>
      <c r="J231" s="82">
        <v>60000000</v>
      </c>
      <c r="K231" s="117">
        <v>7.7499999999999999E-2</v>
      </c>
      <c r="L231" s="85">
        <v>0.9</v>
      </c>
      <c r="M231" s="83">
        <v>2</v>
      </c>
      <c r="N231" s="85">
        <v>12</v>
      </c>
      <c r="O231" s="83">
        <f t="shared" si="54"/>
        <v>697500</v>
      </c>
      <c r="P231" s="83">
        <f t="shared" si="55"/>
        <v>36399363.953899138</v>
      </c>
      <c r="Q231" s="83">
        <f t="shared" si="56"/>
        <v>423142.60596407746</v>
      </c>
      <c r="R231" s="83">
        <f t="shared" si="57"/>
        <v>274357.39403592254</v>
      </c>
      <c r="S231" s="84">
        <v>0.606656065898319</v>
      </c>
      <c r="T231" s="83"/>
      <c r="U231" s="85"/>
      <c r="V231" s="83">
        <f t="shared" si="52"/>
        <v>36399363.953899138</v>
      </c>
      <c r="W231" s="83">
        <f t="shared" si="52"/>
        <v>423142.60596407746</v>
      </c>
      <c r="X231" s="86">
        <f t="shared" si="53"/>
        <v>36399363.953899138</v>
      </c>
      <c r="Y231" s="86">
        <f t="shared" si="53"/>
        <v>423142.60596407746</v>
      </c>
      <c r="Z231" s="86">
        <v>423142.59</v>
      </c>
      <c r="AA231" s="86"/>
      <c r="AB231" s="86">
        <f t="shared" si="58"/>
        <v>1.5964077436365187E-2</v>
      </c>
      <c r="AC231" s="87">
        <v>0</v>
      </c>
      <c r="AD231" s="87">
        <f t="shared" si="45"/>
        <v>0.30516754956014697</v>
      </c>
      <c r="AE231" s="87"/>
      <c r="AF231" s="88"/>
      <c r="AG231" s="88"/>
      <c r="AH231" s="88"/>
      <c r="AI231" s="88"/>
      <c r="AJ231" s="88"/>
      <c r="AK231" s="130">
        <f t="shared" si="49"/>
        <v>1.5964077436365187E-2</v>
      </c>
      <c r="AL231" s="130"/>
      <c r="AM231" s="130"/>
      <c r="AN231" s="130"/>
      <c r="AO231" s="130">
        <f t="shared" si="47"/>
        <v>1.5964077436365187E-2</v>
      </c>
      <c r="AP231" s="119">
        <f t="shared" si="46"/>
        <v>0.3433134932551653</v>
      </c>
      <c r="AQ231" s="182"/>
      <c r="AR231" s="182"/>
      <c r="AS231" s="183"/>
      <c r="AT231" s="183"/>
      <c r="AU231" s="183"/>
      <c r="AV231" s="183"/>
      <c r="AW231" s="186">
        <f t="shared" si="50"/>
        <v>0.3433134932551653</v>
      </c>
      <c r="AX231" s="186">
        <f t="shared" si="48"/>
        <v>0.45775132434022048</v>
      </c>
      <c r="AY231" s="221"/>
      <c r="AZ231" s="221"/>
      <c r="BA231" s="221"/>
    </row>
    <row r="232" spans="1:53" s="76" customFormat="1" ht="25.5">
      <c r="A232" s="54">
        <f t="shared" si="51"/>
        <v>212</v>
      </c>
      <c r="B232" s="55" t="s">
        <v>383</v>
      </c>
      <c r="C232" s="56" t="s">
        <v>384</v>
      </c>
      <c r="D232" s="55" t="s">
        <v>84</v>
      </c>
      <c r="E232" s="55" t="s">
        <v>58</v>
      </c>
      <c r="F232" s="55"/>
      <c r="G232" s="55"/>
      <c r="H232" s="58">
        <v>43497</v>
      </c>
      <c r="I232" s="59" t="s">
        <v>59</v>
      </c>
      <c r="J232" s="60">
        <v>10000000</v>
      </c>
      <c r="K232" s="61">
        <v>7.7499999999999999E-2</v>
      </c>
      <c r="L232" s="62">
        <v>0.9</v>
      </c>
      <c r="M232" s="63">
        <v>10</v>
      </c>
      <c r="N232" s="62">
        <v>12</v>
      </c>
      <c r="O232" s="63">
        <f t="shared" si="54"/>
        <v>581250</v>
      </c>
      <c r="P232" s="63">
        <f t="shared" si="55"/>
        <v>6066560.6589831896</v>
      </c>
      <c r="Q232" s="63">
        <f t="shared" si="56"/>
        <v>352618.83830339788</v>
      </c>
      <c r="R232" s="63">
        <f t="shared" si="57"/>
        <v>228631.16169660212</v>
      </c>
      <c r="S232" s="64">
        <v>0.606656065898319</v>
      </c>
      <c r="T232" s="63"/>
      <c r="U232" s="62"/>
      <c r="V232" s="63">
        <f t="shared" si="52"/>
        <v>6066560.6589831896</v>
      </c>
      <c r="W232" s="63">
        <f t="shared" si="52"/>
        <v>352618.83830339788</v>
      </c>
      <c r="X232" s="65">
        <f t="shared" si="53"/>
        <v>6066560.6589831896</v>
      </c>
      <c r="Y232" s="65">
        <f t="shared" si="53"/>
        <v>352618.83830339788</v>
      </c>
      <c r="Z232" s="65"/>
      <c r="AA232" s="65"/>
      <c r="AB232" s="65">
        <f t="shared" si="58"/>
        <v>352618.83830339788</v>
      </c>
      <c r="AC232" s="66">
        <v>6066560.6589831896</v>
      </c>
      <c r="AD232" s="66">
        <f t="shared" si="45"/>
        <v>6740622.9544257652</v>
      </c>
      <c r="AE232" s="66"/>
      <c r="AF232" s="67"/>
      <c r="AG232" s="67"/>
      <c r="AH232" s="68"/>
      <c r="AI232" s="68"/>
      <c r="AJ232" s="69"/>
      <c r="AK232" s="67">
        <f t="shared" si="49"/>
        <v>352618.83830339788</v>
      </c>
      <c r="AL232" s="67"/>
      <c r="AM232" s="67"/>
      <c r="AN232" s="67"/>
      <c r="AO232" s="67">
        <f t="shared" si="47"/>
        <v>352618.83830339788</v>
      </c>
      <c r="AP232" s="70">
        <f t="shared" si="46"/>
        <v>7583200.8237289861</v>
      </c>
      <c r="AQ232" s="70"/>
      <c r="AR232" s="70"/>
      <c r="AS232" s="71"/>
      <c r="AT232" s="72"/>
      <c r="AU232" s="72"/>
      <c r="AV232" s="73"/>
      <c r="AW232" s="74">
        <f t="shared" si="50"/>
        <v>7583200.8237289861</v>
      </c>
      <c r="AX232" s="74">
        <f t="shared" si="48"/>
        <v>10110934.431638649</v>
      </c>
      <c r="AY232" s="75"/>
      <c r="AZ232" s="75"/>
      <c r="BA232" s="75"/>
    </row>
    <row r="233" spans="1:53" s="222" customFormat="1" ht="25.5">
      <c r="A233" s="77">
        <f t="shared" si="51"/>
        <v>213</v>
      </c>
      <c r="B233" s="78" t="s">
        <v>385</v>
      </c>
      <c r="C233" s="79" t="s">
        <v>386</v>
      </c>
      <c r="D233" s="78" t="s">
        <v>57</v>
      </c>
      <c r="E233" s="80" t="s">
        <v>85</v>
      </c>
      <c r="F233" s="78"/>
      <c r="G233" s="78"/>
      <c r="H233" s="81">
        <v>43497</v>
      </c>
      <c r="I233" s="81">
        <v>43497</v>
      </c>
      <c r="J233" s="82">
        <v>100000000</v>
      </c>
      <c r="K233" s="117">
        <v>7.7499999999999999E-2</v>
      </c>
      <c r="L233" s="85">
        <v>0.9</v>
      </c>
      <c r="M233" s="83">
        <v>10</v>
      </c>
      <c r="N233" s="85">
        <v>12</v>
      </c>
      <c r="O233" s="83">
        <f t="shared" si="54"/>
        <v>5812500</v>
      </c>
      <c r="P233" s="83">
        <f t="shared" si="55"/>
        <v>60665606.589831896</v>
      </c>
      <c r="Q233" s="83">
        <f t="shared" si="56"/>
        <v>3526188.3830339783</v>
      </c>
      <c r="R233" s="83">
        <f t="shared" si="57"/>
        <v>2286311.6169660217</v>
      </c>
      <c r="S233" s="84">
        <v>0.606656065898319</v>
      </c>
      <c r="T233" s="83"/>
      <c r="U233" s="85"/>
      <c r="V233" s="83">
        <f t="shared" si="52"/>
        <v>60665606.589831896</v>
      </c>
      <c r="W233" s="83">
        <f t="shared" si="52"/>
        <v>3526188.3830339783</v>
      </c>
      <c r="X233" s="86">
        <f t="shared" si="53"/>
        <v>60665606.589831896</v>
      </c>
      <c r="Y233" s="86">
        <f t="shared" si="53"/>
        <v>3526188.3830339783</v>
      </c>
      <c r="Z233" s="86">
        <f>5331575.34-Z235-218602.19</f>
        <v>3526188.38</v>
      </c>
      <c r="AA233" s="86"/>
      <c r="AB233" s="86">
        <f>Y233-Z233-AA233</f>
        <v>3.0339783988893032E-3</v>
      </c>
      <c r="AC233" s="87">
        <v>115559405.14034846</v>
      </c>
      <c r="AD233" s="87">
        <f t="shared" si="45"/>
        <v>5.7997197589281776E-2</v>
      </c>
      <c r="AE233" s="87"/>
      <c r="AF233" s="88"/>
      <c r="AG233" s="88"/>
      <c r="AH233" s="88"/>
      <c r="AI233" s="88"/>
      <c r="AJ233" s="88"/>
      <c r="AK233" s="130">
        <f t="shared" si="49"/>
        <v>3.0339783988893032E-3</v>
      </c>
      <c r="AL233" s="130"/>
      <c r="AM233" s="130"/>
      <c r="AN233" s="130"/>
      <c r="AO233" s="130">
        <f t="shared" si="47"/>
        <v>3.0339783988893032E-3</v>
      </c>
      <c r="AP233" s="119">
        <f t="shared" si="46"/>
        <v>6.5246847287942E-2</v>
      </c>
      <c r="AQ233" s="182"/>
      <c r="AR233" s="182"/>
      <c r="AS233" s="183"/>
      <c r="AT233" s="183"/>
      <c r="AU233" s="183"/>
      <c r="AV233" s="183"/>
      <c r="AW233" s="186">
        <f t="shared" si="50"/>
        <v>6.5246847287942E-2</v>
      </c>
      <c r="AX233" s="186">
        <f t="shared" si="48"/>
        <v>8.6995796383922672E-2</v>
      </c>
      <c r="AY233" s="221"/>
      <c r="AZ233" s="221"/>
      <c r="BA233" s="221"/>
    </row>
    <row r="234" spans="1:53" s="222" customFormat="1" ht="25.5">
      <c r="A234" s="77">
        <f t="shared" si="51"/>
        <v>214</v>
      </c>
      <c r="B234" s="78" t="s">
        <v>385</v>
      </c>
      <c r="C234" s="79" t="s">
        <v>386</v>
      </c>
      <c r="D234" s="78" t="s">
        <v>97</v>
      </c>
      <c r="E234" s="80" t="s">
        <v>85</v>
      </c>
      <c r="F234" s="78"/>
      <c r="G234" s="78"/>
      <c r="H234" s="81">
        <v>43497</v>
      </c>
      <c r="I234" s="81">
        <v>43497</v>
      </c>
      <c r="J234" s="82">
        <v>100000000</v>
      </c>
      <c r="K234" s="117">
        <v>7.7499999999999999E-2</v>
      </c>
      <c r="L234" s="85">
        <v>0.9</v>
      </c>
      <c r="M234" s="83">
        <v>10</v>
      </c>
      <c r="N234" s="85">
        <v>12</v>
      </c>
      <c r="O234" s="83">
        <f t="shared" si="54"/>
        <v>5812500</v>
      </c>
      <c r="P234" s="83">
        <f t="shared" si="55"/>
        <v>60665606.589831896</v>
      </c>
      <c r="Q234" s="83">
        <f t="shared" si="56"/>
        <v>3526188.3830339783</v>
      </c>
      <c r="R234" s="83">
        <f t="shared" si="57"/>
        <v>2286311.6169660217</v>
      </c>
      <c r="S234" s="84">
        <v>0.606656065898319</v>
      </c>
      <c r="T234" s="241">
        <v>100000000</v>
      </c>
      <c r="U234" s="181">
        <f>5812500-U237+534639.09</f>
        <v>3526188.38</v>
      </c>
      <c r="V234" s="83">
        <f t="shared" si="52"/>
        <v>-39334393.410168104</v>
      </c>
      <c r="W234" s="83">
        <f t="shared" si="52"/>
        <v>3.0339783988893032E-3</v>
      </c>
      <c r="X234" s="86">
        <f>SUM(V234)</f>
        <v>-39334393.410168104</v>
      </c>
      <c r="Y234" s="86">
        <f t="shared" si="53"/>
        <v>3.0339783988893032E-3</v>
      </c>
      <c r="Z234" s="86"/>
      <c r="AA234" s="86"/>
      <c r="AB234" s="86">
        <f t="shared" si="58"/>
        <v>3.0339783988893032E-3</v>
      </c>
      <c r="AC234" s="87">
        <v>0</v>
      </c>
      <c r="AD234" s="87">
        <f t="shared" si="45"/>
        <v>5.7997197589281776E-2</v>
      </c>
      <c r="AE234" s="87"/>
      <c r="AF234" s="88"/>
      <c r="AG234" s="88"/>
      <c r="AH234" s="88"/>
      <c r="AI234" s="88"/>
      <c r="AJ234" s="88"/>
      <c r="AK234" s="130">
        <f t="shared" si="49"/>
        <v>3.0339783988893032E-3</v>
      </c>
      <c r="AL234" s="130"/>
      <c r="AM234" s="130"/>
      <c r="AN234" s="130"/>
      <c r="AO234" s="130">
        <f t="shared" si="47"/>
        <v>3.0339783988893032E-3</v>
      </c>
      <c r="AP234" s="119">
        <f t="shared" si="46"/>
        <v>6.5246847287942E-2</v>
      </c>
      <c r="AQ234" s="182"/>
      <c r="AR234" s="182"/>
      <c r="AS234" s="183"/>
      <c r="AT234" s="183"/>
      <c r="AU234" s="183"/>
      <c r="AV234" s="183"/>
      <c r="AW234" s="186">
        <f t="shared" si="50"/>
        <v>6.5246847287942E-2</v>
      </c>
      <c r="AX234" s="186">
        <f t="shared" si="48"/>
        <v>8.6995796383922672E-2</v>
      </c>
      <c r="AY234" s="221"/>
      <c r="AZ234" s="221"/>
      <c r="BA234" s="221"/>
    </row>
    <row r="235" spans="1:53" s="222" customFormat="1" ht="25.5">
      <c r="A235" s="77">
        <f t="shared" si="51"/>
        <v>215</v>
      </c>
      <c r="B235" s="78" t="s">
        <v>385</v>
      </c>
      <c r="C235" s="79" t="s">
        <v>386</v>
      </c>
      <c r="D235" s="78" t="s">
        <v>57</v>
      </c>
      <c r="E235" s="80" t="s">
        <v>85</v>
      </c>
      <c r="F235" s="78"/>
      <c r="G235" s="78"/>
      <c r="H235" s="81">
        <v>43525</v>
      </c>
      <c r="I235" s="81">
        <v>43525</v>
      </c>
      <c r="J235" s="82">
        <v>50000000</v>
      </c>
      <c r="K235" s="117">
        <v>7.7499999999999999E-2</v>
      </c>
      <c r="L235" s="85">
        <v>0.9</v>
      </c>
      <c r="M235" s="83">
        <v>9</v>
      </c>
      <c r="N235" s="85">
        <v>12</v>
      </c>
      <c r="O235" s="83">
        <f t="shared" si="54"/>
        <v>2615625</v>
      </c>
      <c r="P235" s="83">
        <f t="shared" si="55"/>
        <v>30332803.294915948</v>
      </c>
      <c r="Q235" s="83">
        <f t="shared" si="56"/>
        <v>1586784.7723652904</v>
      </c>
      <c r="R235" s="83">
        <f t="shared" si="57"/>
        <v>1028840.2276347096</v>
      </c>
      <c r="S235" s="84">
        <v>0.606656065898319</v>
      </c>
      <c r="T235" s="83"/>
      <c r="U235" s="85"/>
      <c r="V235" s="83">
        <f t="shared" si="52"/>
        <v>30332803.294915948</v>
      </c>
      <c r="W235" s="83">
        <f>Q235-U235</f>
        <v>1586784.7723652904</v>
      </c>
      <c r="X235" s="86">
        <f t="shared" si="53"/>
        <v>30332803.294915948</v>
      </c>
      <c r="Y235" s="86">
        <f>SUM(W235)</f>
        <v>1586784.7723652904</v>
      </c>
      <c r="Z235" s="86">
        <v>1586784.77</v>
      </c>
      <c r="AA235" s="86"/>
      <c r="AB235" s="86">
        <f t="shared" si="58"/>
        <v>2.3652904201298952E-3</v>
      </c>
      <c r="AC235" s="87">
        <v>0</v>
      </c>
      <c r="AD235" s="87">
        <f t="shared" si="45"/>
        <v>4.5214631687070878E-2</v>
      </c>
      <c r="AE235" s="87"/>
      <c r="AF235" s="88"/>
      <c r="AG235" s="88"/>
      <c r="AH235" s="88"/>
      <c r="AI235" s="88"/>
      <c r="AJ235" s="88"/>
      <c r="AK235" s="130">
        <f t="shared" si="49"/>
        <v>2.3652904201298952E-3</v>
      </c>
      <c r="AL235" s="130"/>
      <c r="AM235" s="130"/>
      <c r="AN235" s="130"/>
      <c r="AO235" s="130">
        <f t="shared" si="47"/>
        <v>2.3652904201298952E-3</v>
      </c>
      <c r="AP235" s="119">
        <f t="shared" si="46"/>
        <v>5.0866460647954734E-2</v>
      </c>
      <c r="AQ235" s="182"/>
      <c r="AR235" s="182"/>
      <c r="AS235" s="183"/>
      <c r="AT235" s="183"/>
      <c r="AU235" s="183"/>
      <c r="AV235" s="183"/>
      <c r="AW235" s="186">
        <f t="shared" si="50"/>
        <v>5.0866460647954734E-2</v>
      </c>
      <c r="AX235" s="186">
        <f t="shared" si="48"/>
        <v>6.7821947530606316E-2</v>
      </c>
      <c r="AY235" s="221"/>
      <c r="AZ235" s="221"/>
      <c r="BA235" s="221"/>
    </row>
    <row r="236" spans="1:53" s="222" customFormat="1" ht="25.5">
      <c r="A236" s="77">
        <f t="shared" si="51"/>
        <v>216</v>
      </c>
      <c r="B236" s="78" t="s">
        <v>385</v>
      </c>
      <c r="C236" s="79" t="s">
        <v>386</v>
      </c>
      <c r="D236" s="78" t="s">
        <v>97</v>
      </c>
      <c r="E236" s="80" t="s">
        <v>85</v>
      </c>
      <c r="F236" s="78"/>
      <c r="G236" s="78"/>
      <c r="H236" s="81">
        <v>43525</v>
      </c>
      <c r="I236" s="81">
        <v>43525</v>
      </c>
      <c r="J236" s="82">
        <v>100000000</v>
      </c>
      <c r="K236" s="117">
        <v>7.7499999999999999E-2</v>
      </c>
      <c r="L236" s="85">
        <v>0.9</v>
      </c>
      <c r="M236" s="83">
        <v>9</v>
      </c>
      <c r="N236" s="85">
        <v>12</v>
      </c>
      <c r="O236" s="83">
        <f t="shared" si="54"/>
        <v>5231250</v>
      </c>
      <c r="P236" s="83">
        <f t="shared" si="55"/>
        <v>60665606.589831896</v>
      </c>
      <c r="Q236" s="83">
        <f t="shared" si="56"/>
        <v>3173569.5447305809</v>
      </c>
      <c r="R236" s="83">
        <f t="shared" si="57"/>
        <v>2057680.4552694191</v>
      </c>
      <c r="S236" s="84">
        <v>0.606656065898319</v>
      </c>
      <c r="T236" s="241">
        <v>100000000</v>
      </c>
      <c r="U236" s="181">
        <f>5812500-534639.09-U238-U239</f>
        <v>3173569.54</v>
      </c>
      <c r="V236" s="83">
        <f t="shared" si="52"/>
        <v>-39334393.410168104</v>
      </c>
      <c r="W236" s="83">
        <f t="shared" si="52"/>
        <v>4.7305808402597904E-3</v>
      </c>
      <c r="X236" s="86">
        <f t="shared" si="53"/>
        <v>-39334393.410168104</v>
      </c>
      <c r="Y236" s="86">
        <f t="shared" si="53"/>
        <v>4.7305808402597904E-3</v>
      </c>
      <c r="Z236" s="86"/>
      <c r="AA236" s="86"/>
      <c r="AB236" s="86">
        <f t="shared" si="58"/>
        <v>4.7305808402597904E-3</v>
      </c>
      <c r="AC236" s="87">
        <v>0</v>
      </c>
      <c r="AD236" s="87">
        <f t="shared" si="45"/>
        <v>9.0429263374141755E-2</v>
      </c>
      <c r="AE236" s="87"/>
      <c r="AF236" s="88"/>
      <c r="AG236" s="88"/>
      <c r="AH236" s="88"/>
      <c r="AI236" s="88"/>
      <c r="AJ236" s="88"/>
      <c r="AK236" s="130">
        <f t="shared" si="49"/>
        <v>4.7305808402597904E-3</v>
      </c>
      <c r="AL236" s="130"/>
      <c r="AM236" s="130"/>
      <c r="AN236" s="130"/>
      <c r="AO236" s="130">
        <f t="shared" si="47"/>
        <v>4.7305808402597904E-3</v>
      </c>
      <c r="AP236" s="119">
        <f t="shared" si="46"/>
        <v>0.10173292129590947</v>
      </c>
      <c r="AQ236" s="182"/>
      <c r="AR236" s="182"/>
      <c r="AS236" s="183"/>
      <c r="AT236" s="183"/>
      <c r="AU236" s="183"/>
      <c r="AV236" s="183"/>
      <c r="AW236" s="186">
        <f t="shared" si="50"/>
        <v>0.10173292129590947</v>
      </c>
      <c r="AX236" s="186">
        <f t="shared" si="48"/>
        <v>0.13564389506121263</v>
      </c>
      <c r="AY236" s="221"/>
      <c r="AZ236" s="221"/>
      <c r="BA236" s="221"/>
    </row>
    <row r="237" spans="1:53" s="222" customFormat="1" ht="25.5">
      <c r="A237" s="77">
        <f t="shared" si="51"/>
        <v>217</v>
      </c>
      <c r="B237" s="78" t="s">
        <v>385</v>
      </c>
      <c r="C237" s="79" t="s">
        <v>386</v>
      </c>
      <c r="D237" s="78" t="s">
        <v>97</v>
      </c>
      <c r="E237" s="80" t="s">
        <v>85</v>
      </c>
      <c r="F237" s="78"/>
      <c r="G237" s="78"/>
      <c r="H237" s="81">
        <v>43556</v>
      </c>
      <c r="I237" s="81">
        <v>43556</v>
      </c>
      <c r="J237" s="82">
        <v>100000000</v>
      </c>
      <c r="K237" s="117">
        <v>7.7499999999999999E-2</v>
      </c>
      <c r="L237" s="85">
        <v>0.9</v>
      </c>
      <c r="M237" s="83">
        <v>8</v>
      </c>
      <c r="N237" s="85">
        <v>12</v>
      </c>
      <c r="O237" s="83">
        <f t="shared" si="54"/>
        <v>4650000</v>
      </c>
      <c r="P237" s="83">
        <f t="shared" si="55"/>
        <v>60665606.589831896</v>
      </c>
      <c r="Q237" s="83">
        <f t="shared" si="56"/>
        <v>2820950.706427183</v>
      </c>
      <c r="R237" s="83">
        <f t="shared" si="57"/>
        <v>1829049.293572817</v>
      </c>
      <c r="S237" s="84">
        <v>0.606656065898319</v>
      </c>
      <c r="T237" s="83"/>
      <c r="U237" s="193">
        <v>2820950.71</v>
      </c>
      <c r="V237" s="83">
        <f t="shared" si="52"/>
        <v>60665606.589831896</v>
      </c>
      <c r="W237" s="83">
        <f t="shared" si="52"/>
        <v>-3.5728169605135918E-3</v>
      </c>
      <c r="X237" s="86">
        <f t="shared" si="53"/>
        <v>60665606.589831896</v>
      </c>
      <c r="Y237" s="86">
        <f t="shared" si="53"/>
        <v>-3.5728169605135918E-3</v>
      </c>
      <c r="Z237" s="86"/>
      <c r="AA237" s="86"/>
      <c r="AB237" s="86">
        <f t="shared" si="58"/>
        <v>-3.5728169605135918E-3</v>
      </c>
      <c r="AC237" s="87">
        <v>0</v>
      </c>
      <c r="AD237" s="87">
        <f t="shared" si="45"/>
        <v>-6.8297576306114063E-2</v>
      </c>
      <c r="AE237" s="87"/>
      <c r="AF237" s="88"/>
      <c r="AG237" s="88"/>
      <c r="AH237" s="88"/>
      <c r="AI237" s="88"/>
      <c r="AJ237" s="88"/>
      <c r="AK237" s="130">
        <f t="shared" si="49"/>
        <v>-3.5728169605135918E-3</v>
      </c>
      <c r="AL237" s="130"/>
      <c r="AM237" s="130"/>
      <c r="AN237" s="130"/>
      <c r="AO237" s="130">
        <f t="shared" si="47"/>
        <v>-3.5728169605135918E-3</v>
      </c>
      <c r="AP237" s="89">
        <f t="shared" si="46"/>
        <v>-7.6834773344378313E-2</v>
      </c>
      <c r="AQ237" s="182"/>
      <c r="AR237" s="182"/>
      <c r="AS237" s="183"/>
      <c r="AT237" s="183"/>
      <c r="AU237" s="183"/>
      <c r="AV237" s="183"/>
      <c r="AW237" s="186">
        <f t="shared" si="50"/>
        <v>-7.6834773344378313E-2</v>
      </c>
      <c r="AX237" s="223">
        <f t="shared" si="48"/>
        <v>-0.1024463644591711</v>
      </c>
      <c r="AY237" s="221"/>
      <c r="AZ237" s="221"/>
      <c r="BA237" s="221"/>
    </row>
    <row r="238" spans="1:53" s="222" customFormat="1" ht="25.5">
      <c r="A238" s="77">
        <f t="shared" si="51"/>
        <v>218</v>
      </c>
      <c r="B238" s="78" t="s">
        <v>385</v>
      </c>
      <c r="C238" s="79" t="s">
        <v>386</v>
      </c>
      <c r="D238" s="78" t="s">
        <v>97</v>
      </c>
      <c r="E238" s="80" t="s">
        <v>85</v>
      </c>
      <c r="F238" s="78"/>
      <c r="G238" s="78"/>
      <c r="H238" s="81">
        <v>43556</v>
      </c>
      <c r="I238" s="81">
        <v>43556</v>
      </c>
      <c r="J238" s="82">
        <v>50000000</v>
      </c>
      <c r="K238" s="117">
        <v>7.7499999999999999E-2</v>
      </c>
      <c r="L238" s="85">
        <v>0.9</v>
      </c>
      <c r="M238" s="83">
        <v>8</v>
      </c>
      <c r="N238" s="85">
        <v>12</v>
      </c>
      <c r="O238" s="83">
        <f t="shared" si="54"/>
        <v>2325000</v>
      </c>
      <c r="P238" s="83">
        <f t="shared" si="55"/>
        <v>30332803.294915948</v>
      </c>
      <c r="Q238" s="83">
        <f t="shared" si="56"/>
        <v>1410475.3532135915</v>
      </c>
      <c r="R238" s="83">
        <f t="shared" si="57"/>
        <v>914524.6467864085</v>
      </c>
      <c r="S238" s="84">
        <v>0.606656065898319</v>
      </c>
      <c r="T238" s="83"/>
      <c r="U238" s="193">
        <v>1410475.35</v>
      </c>
      <c r="V238" s="83">
        <f t="shared" si="52"/>
        <v>30332803.294915948</v>
      </c>
      <c r="W238" s="83">
        <f t="shared" si="52"/>
        <v>3.2135914079844952E-3</v>
      </c>
      <c r="X238" s="86">
        <f t="shared" si="53"/>
        <v>30332803.294915948</v>
      </c>
      <c r="Y238" s="86">
        <f t="shared" si="53"/>
        <v>3.2135914079844952E-3</v>
      </c>
      <c r="Z238" s="86"/>
      <c r="AA238" s="86"/>
      <c r="AB238" s="86">
        <f t="shared" si="58"/>
        <v>3.2135914079844952E-3</v>
      </c>
      <c r="AC238" s="87">
        <v>0</v>
      </c>
      <c r="AD238" s="87">
        <f t="shared" si="45"/>
        <v>6.1430660128735867E-2</v>
      </c>
      <c r="AE238" s="87"/>
      <c r="AF238" s="88"/>
      <c r="AG238" s="88"/>
      <c r="AH238" s="88"/>
      <c r="AI238" s="88"/>
      <c r="AJ238" s="88"/>
      <c r="AK238" s="130">
        <f t="shared" si="49"/>
        <v>3.2135914079844952E-3</v>
      </c>
      <c r="AL238" s="130"/>
      <c r="AM238" s="130"/>
      <c r="AN238" s="130"/>
      <c r="AO238" s="130">
        <f t="shared" si="47"/>
        <v>3.2135914079844952E-3</v>
      </c>
      <c r="AP238" s="119">
        <f t="shared" si="46"/>
        <v>6.9109492644827852E-2</v>
      </c>
      <c r="AQ238" s="182"/>
      <c r="AR238" s="182"/>
      <c r="AS238" s="183"/>
      <c r="AT238" s="183"/>
      <c r="AU238" s="183"/>
      <c r="AV238" s="183"/>
      <c r="AW238" s="186">
        <f t="shared" si="50"/>
        <v>6.9109492644827852E-2</v>
      </c>
      <c r="AX238" s="186">
        <f t="shared" si="48"/>
        <v>9.2145990193103794E-2</v>
      </c>
      <c r="AY238" s="221"/>
      <c r="AZ238" s="221"/>
      <c r="BA238" s="221"/>
    </row>
    <row r="239" spans="1:53" s="230" customFormat="1" ht="25.5">
      <c r="A239" s="120">
        <f t="shared" si="51"/>
        <v>219</v>
      </c>
      <c r="B239" s="80" t="s">
        <v>385</v>
      </c>
      <c r="C239" s="121" t="s">
        <v>386</v>
      </c>
      <c r="D239" s="80" t="s">
        <v>97</v>
      </c>
      <c r="E239" s="80" t="s">
        <v>85</v>
      </c>
      <c r="F239" s="80"/>
      <c r="G239" s="80"/>
      <c r="H239" s="122">
        <v>43586</v>
      </c>
      <c r="I239" s="122" t="s">
        <v>324</v>
      </c>
      <c r="J239" s="123">
        <v>100000000</v>
      </c>
      <c r="K239" s="124">
        <v>7.7499999999999999E-2</v>
      </c>
      <c r="L239" s="125">
        <v>0.9</v>
      </c>
      <c r="M239" s="126">
        <v>7</v>
      </c>
      <c r="N239" s="125">
        <v>12</v>
      </c>
      <c r="O239" s="126">
        <f t="shared" si="54"/>
        <v>4068750</v>
      </c>
      <c r="P239" s="126">
        <f t="shared" si="55"/>
        <v>60665606.589831896</v>
      </c>
      <c r="Q239" s="126">
        <f t="shared" si="56"/>
        <v>2468331.8681237851</v>
      </c>
      <c r="R239" s="126">
        <f t="shared" si="57"/>
        <v>1600418.1318762149</v>
      </c>
      <c r="S239" s="127">
        <v>0.606656065898319</v>
      </c>
      <c r="T239" s="126"/>
      <c r="U239" s="244">
        <v>693816.02</v>
      </c>
      <c r="V239" s="126">
        <f t="shared" si="52"/>
        <v>60665606.589831896</v>
      </c>
      <c r="W239" s="126">
        <f t="shared" si="52"/>
        <v>1774515.8481237851</v>
      </c>
      <c r="X239" s="128">
        <f t="shared" si="53"/>
        <v>60665606.589831896</v>
      </c>
      <c r="Y239" s="128">
        <f t="shared" si="53"/>
        <v>1774515.8481237851</v>
      </c>
      <c r="Z239" s="128">
        <v>218602.19</v>
      </c>
      <c r="AA239" s="128"/>
      <c r="AB239" s="128">
        <f>Y239-Z239-AA239</f>
        <v>1555913.6581237852</v>
      </c>
      <c r="AC239" s="129">
        <v>0</v>
      </c>
      <c r="AD239" s="129">
        <f t="shared" si="45"/>
        <v>29742674.468316086</v>
      </c>
      <c r="AE239" s="129"/>
      <c r="AF239" s="130"/>
      <c r="AG239" s="130"/>
      <c r="AH239" s="130">
        <v>1555913.66</v>
      </c>
      <c r="AI239" s="130"/>
      <c r="AJ239" s="130"/>
      <c r="AK239" s="130">
        <f t="shared" si="49"/>
        <v>-1.8762147519737482E-3</v>
      </c>
      <c r="AL239" s="130"/>
      <c r="AM239" s="130"/>
      <c r="AN239" s="130"/>
      <c r="AO239" s="130">
        <f t="shared" si="47"/>
        <v>-1.8762147519737482E-3</v>
      </c>
      <c r="AP239" s="119">
        <f t="shared" si="46"/>
        <v>33460508.776855595</v>
      </c>
      <c r="AQ239" s="119"/>
      <c r="AR239" s="119"/>
      <c r="AS239" s="185"/>
      <c r="AT239" s="119">
        <f>AH239/7.75%/0.9/7*12</f>
        <v>38240581.505376339</v>
      </c>
      <c r="AU239" s="119"/>
      <c r="AV239" s="119"/>
      <c r="AW239" s="186">
        <f t="shared" si="50"/>
        <v>-4780072.7285207435</v>
      </c>
      <c r="AX239" s="223">
        <f t="shared" si="48"/>
        <v>-5.3798272458028623E-2</v>
      </c>
      <c r="AY239" s="229"/>
      <c r="AZ239" s="229"/>
      <c r="BA239" s="229"/>
    </row>
    <row r="240" spans="1:53" s="230" customFormat="1" ht="25.5">
      <c r="A240" s="120">
        <f t="shared" si="51"/>
        <v>220</v>
      </c>
      <c r="B240" s="80" t="s">
        <v>385</v>
      </c>
      <c r="C240" s="121" t="s">
        <v>386</v>
      </c>
      <c r="D240" s="80" t="s">
        <v>97</v>
      </c>
      <c r="E240" s="80" t="s">
        <v>85</v>
      </c>
      <c r="F240" s="80"/>
      <c r="G240" s="80"/>
      <c r="H240" s="122">
        <v>43647</v>
      </c>
      <c r="I240" s="122">
        <v>43647</v>
      </c>
      <c r="J240" s="123">
        <v>100000000</v>
      </c>
      <c r="K240" s="124">
        <v>7.7499999999999999E-2</v>
      </c>
      <c r="L240" s="125">
        <v>0.9</v>
      </c>
      <c r="M240" s="126">
        <v>5</v>
      </c>
      <c r="N240" s="125">
        <v>12</v>
      </c>
      <c r="O240" s="126">
        <f t="shared" si="54"/>
        <v>2906250</v>
      </c>
      <c r="P240" s="126">
        <f t="shared" si="55"/>
        <v>60665606.589831896</v>
      </c>
      <c r="Q240" s="126">
        <f t="shared" si="56"/>
        <v>1763094.1915169891</v>
      </c>
      <c r="R240" s="126">
        <f t="shared" si="57"/>
        <v>1143155.8084830109</v>
      </c>
      <c r="S240" s="127">
        <v>0.606656065898319</v>
      </c>
      <c r="T240" s="126"/>
      <c r="U240" s="125"/>
      <c r="V240" s="126">
        <f t="shared" si="52"/>
        <v>60665606.589831896</v>
      </c>
      <c r="W240" s="126">
        <f t="shared" si="52"/>
        <v>1763094.1915169891</v>
      </c>
      <c r="X240" s="128">
        <f t="shared" si="53"/>
        <v>60665606.589831896</v>
      </c>
      <c r="Y240" s="128">
        <f t="shared" si="53"/>
        <v>1763094.1915169891</v>
      </c>
      <c r="Z240" s="128"/>
      <c r="AA240" s="128"/>
      <c r="AB240" s="128">
        <f>AP240*7.75/100*0.9*8/12</f>
        <v>2820950.7064350005</v>
      </c>
      <c r="AC240" s="129"/>
      <c r="AD240" s="129">
        <f t="shared" si="45"/>
        <v>53924983.635555558</v>
      </c>
      <c r="AE240" s="129"/>
      <c r="AF240" s="130"/>
      <c r="AG240" s="130"/>
      <c r="AH240" s="130">
        <f>4068750-1555913.66</f>
        <v>2512836.34</v>
      </c>
      <c r="AI240" s="130"/>
      <c r="AJ240" s="130"/>
      <c r="AK240" s="133">
        <f t="shared" si="49"/>
        <v>308114.36643500067</v>
      </c>
      <c r="AL240" s="133"/>
      <c r="AM240" s="133"/>
      <c r="AN240" s="133"/>
      <c r="AO240" s="130">
        <v>0</v>
      </c>
      <c r="AP240" s="119">
        <v>60665606.590000004</v>
      </c>
      <c r="AQ240" s="119"/>
      <c r="AR240" s="119"/>
      <c r="AS240" s="185"/>
      <c r="AT240" s="119">
        <f>AH240/7.75%/0.9/7*12</f>
        <v>61759418.494623646</v>
      </c>
      <c r="AU240" s="119"/>
      <c r="AV240" s="119"/>
      <c r="AW240" s="186">
        <f t="shared" si="50"/>
        <v>-1093811.9046236426</v>
      </c>
      <c r="AX240" s="186">
        <f t="shared" si="48"/>
        <v>0</v>
      </c>
      <c r="AY240" s="229"/>
      <c r="AZ240" s="229"/>
      <c r="BA240" s="229"/>
    </row>
    <row r="241" spans="1:53" s="230" customFormat="1" ht="25.5">
      <c r="A241" s="120">
        <f t="shared" si="51"/>
        <v>221</v>
      </c>
      <c r="B241" s="80" t="s">
        <v>385</v>
      </c>
      <c r="C241" s="121" t="s">
        <v>386</v>
      </c>
      <c r="D241" s="80" t="s">
        <v>97</v>
      </c>
      <c r="E241" s="80" t="s">
        <v>85</v>
      </c>
      <c r="F241" s="80"/>
      <c r="G241" s="80"/>
      <c r="H241" s="122">
        <v>43678</v>
      </c>
      <c r="I241" s="122">
        <v>43678</v>
      </c>
      <c r="J241" s="123">
        <v>100000000</v>
      </c>
      <c r="K241" s="124">
        <v>7.7499999999999999E-2</v>
      </c>
      <c r="L241" s="125">
        <v>0.9</v>
      </c>
      <c r="M241" s="126">
        <v>4</v>
      </c>
      <c r="N241" s="125">
        <v>12</v>
      </c>
      <c r="O241" s="126">
        <f t="shared" si="54"/>
        <v>2325000</v>
      </c>
      <c r="P241" s="126">
        <f t="shared" si="55"/>
        <v>60665606.589831896</v>
      </c>
      <c r="Q241" s="126">
        <f t="shared" si="56"/>
        <v>1410475.3532135915</v>
      </c>
      <c r="R241" s="126">
        <f t="shared" si="57"/>
        <v>914524.6467864085</v>
      </c>
      <c r="S241" s="127">
        <v>0.606656065898319</v>
      </c>
      <c r="T241" s="126"/>
      <c r="U241" s="125"/>
      <c r="V241" s="126">
        <f t="shared" si="52"/>
        <v>60665606.589831896</v>
      </c>
      <c r="W241" s="126">
        <f t="shared" si="52"/>
        <v>1410475.3532135915</v>
      </c>
      <c r="X241" s="128">
        <f t="shared" si="53"/>
        <v>60665606.589831896</v>
      </c>
      <c r="Y241" s="128">
        <f t="shared" si="53"/>
        <v>1410475.3532135915</v>
      </c>
      <c r="Z241" s="128"/>
      <c r="AA241" s="128"/>
      <c r="AB241" s="128">
        <f>AP241*7.75/100*0.9*8/12</f>
        <v>273135.6354412146</v>
      </c>
      <c r="AC241" s="129"/>
      <c r="AD241" s="129">
        <f t="shared" si="45"/>
        <v>5221230.7850172445</v>
      </c>
      <c r="AE241" s="129"/>
      <c r="AF241" s="130"/>
      <c r="AG241" s="130"/>
      <c r="AH241" s="130"/>
      <c r="AI241" s="130"/>
      <c r="AJ241" s="130"/>
      <c r="AK241" s="133">
        <f t="shared" si="49"/>
        <v>273135.6354412146</v>
      </c>
      <c r="AL241" s="133"/>
      <c r="AM241" s="133"/>
      <c r="AN241" s="133"/>
      <c r="AO241" s="130">
        <v>0</v>
      </c>
      <c r="AP241" s="119">
        <f>100000000-AP239-AP240</f>
        <v>5873884.633144401</v>
      </c>
      <c r="AQ241" s="119"/>
      <c r="AR241" s="119"/>
      <c r="AS241" s="185"/>
      <c r="AT241" s="185"/>
      <c r="AU241" s="185"/>
      <c r="AV241" s="185"/>
      <c r="AW241" s="186">
        <f t="shared" si="50"/>
        <v>5873884.633144401</v>
      </c>
      <c r="AX241" s="186">
        <f t="shared" si="48"/>
        <v>0</v>
      </c>
      <c r="AY241" s="229"/>
      <c r="AZ241" s="229"/>
      <c r="BA241" s="229"/>
    </row>
    <row r="242" spans="1:53" s="230" customFormat="1" ht="25.5">
      <c r="A242" s="120">
        <f t="shared" si="51"/>
        <v>222</v>
      </c>
      <c r="B242" s="80" t="s">
        <v>385</v>
      </c>
      <c r="C242" s="121" t="s">
        <v>386</v>
      </c>
      <c r="D242" s="80" t="s">
        <v>97</v>
      </c>
      <c r="E242" s="80" t="s">
        <v>85</v>
      </c>
      <c r="F242" s="80"/>
      <c r="G242" s="80"/>
      <c r="H242" s="122">
        <v>43709</v>
      </c>
      <c r="I242" s="122">
        <v>43709</v>
      </c>
      <c r="J242" s="123">
        <v>100000000</v>
      </c>
      <c r="K242" s="124">
        <v>7.7499999999999999E-2</v>
      </c>
      <c r="L242" s="125">
        <v>0.9</v>
      </c>
      <c r="M242" s="126">
        <v>3</v>
      </c>
      <c r="N242" s="125">
        <v>12</v>
      </c>
      <c r="O242" s="126">
        <f t="shared" si="54"/>
        <v>1743750</v>
      </c>
      <c r="P242" s="126">
        <f t="shared" si="55"/>
        <v>60665606.589831896</v>
      </c>
      <c r="Q242" s="126">
        <f t="shared" si="56"/>
        <v>1057856.5149101936</v>
      </c>
      <c r="R242" s="126">
        <f t="shared" si="57"/>
        <v>685893.48508980637</v>
      </c>
      <c r="S242" s="127">
        <v>0.606656065898319</v>
      </c>
      <c r="T242" s="126"/>
      <c r="U242" s="125"/>
      <c r="V242" s="126">
        <f t="shared" si="52"/>
        <v>60665606.589831896</v>
      </c>
      <c r="W242" s="126">
        <f t="shared" si="52"/>
        <v>1057856.5149101936</v>
      </c>
      <c r="X242" s="128">
        <f t="shared" si="53"/>
        <v>60665606.589831896</v>
      </c>
      <c r="Y242" s="128">
        <f t="shared" si="53"/>
        <v>1057856.5149101936</v>
      </c>
      <c r="Z242" s="128"/>
      <c r="AA242" s="128"/>
      <c r="AB242" s="128"/>
      <c r="AC242" s="129"/>
      <c r="AD242" s="129"/>
      <c r="AE242" s="129"/>
      <c r="AF242" s="130"/>
      <c r="AG242" s="130"/>
      <c r="AH242" s="130"/>
      <c r="AI242" s="130"/>
      <c r="AJ242" s="130"/>
      <c r="AK242" s="130">
        <f t="shared" si="49"/>
        <v>0</v>
      </c>
      <c r="AL242" s="130"/>
      <c r="AM242" s="130"/>
      <c r="AN242" s="130"/>
      <c r="AO242" s="130">
        <f t="shared" si="47"/>
        <v>0</v>
      </c>
      <c r="AP242" s="119"/>
      <c r="AQ242" s="119"/>
      <c r="AR242" s="119"/>
      <c r="AS242" s="185"/>
      <c r="AT242" s="185"/>
      <c r="AU242" s="185"/>
      <c r="AV242" s="185"/>
      <c r="AW242" s="186">
        <f t="shared" si="50"/>
        <v>0</v>
      </c>
      <c r="AX242" s="186">
        <f t="shared" si="48"/>
        <v>0</v>
      </c>
      <c r="AY242" s="229"/>
      <c r="AZ242" s="229"/>
      <c r="BA242" s="229"/>
    </row>
    <row r="243" spans="1:53" s="230" customFormat="1" ht="25.5">
      <c r="A243" s="120">
        <f t="shared" si="51"/>
        <v>223</v>
      </c>
      <c r="B243" s="80" t="s">
        <v>385</v>
      </c>
      <c r="C243" s="121" t="s">
        <v>386</v>
      </c>
      <c r="D243" s="80" t="s">
        <v>97</v>
      </c>
      <c r="E243" s="80" t="s">
        <v>85</v>
      </c>
      <c r="F243" s="80"/>
      <c r="G243" s="80"/>
      <c r="H243" s="122">
        <v>43709</v>
      </c>
      <c r="I243" s="122">
        <v>43709</v>
      </c>
      <c r="J243" s="123">
        <v>100000000</v>
      </c>
      <c r="K243" s="124">
        <v>7.7499999999999999E-2</v>
      </c>
      <c r="L243" s="125">
        <v>0.9</v>
      </c>
      <c r="M243" s="126">
        <v>3</v>
      </c>
      <c r="N243" s="125">
        <v>12</v>
      </c>
      <c r="O243" s="126">
        <f t="shared" si="54"/>
        <v>1743750</v>
      </c>
      <c r="P243" s="126">
        <f t="shared" si="55"/>
        <v>60665606.589831896</v>
      </c>
      <c r="Q243" s="126">
        <f t="shared" si="56"/>
        <v>1057856.5149101936</v>
      </c>
      <c r="R243" s="126">
        <f t="shared" si="57"/>
        <v>685893.48508980637</v>
      </c>
      <c r="S243" s="127">
        <v>0.606656065898319</v>
      </c>
      <c r="T243" s="126"/>
      <c r="U243" s="125"/>
      <c r="V243" s="126">
        <f t="shared" si="52"/>
        <v>60665606.589831896</v>
      </c>
      <c r="W243" s="126">
        <f t="shared" si="52"/>
        <v>1057856.5149101936</v>
      </c>
      <c r="X243" s="128">
        <f t="shared" si="53"/>
        <v>60665606.589831896</v>
      </c>
      <c r="Y243" s="128">
        <f t="shared" si="53"/>
        <v>1057856.5149101936</v>
      </c>
      <c r="Z243" s="128"/>
      <c r="AA243" s="128"/>
      <c r="AB243" s="128"/>
      <c r="AC243" s="129"/>
      <c r="AD243" s="129"/>
      <c r="AE243" s="129"/>
      <c r="AF243" s="130"/>
      <c r="AG243" s="130"/>
      <c r="AH243" s="130"/>
      <c r="AI243" s="130"/>
      <c r="AJ243" s="130"/>
      <c r="AK243" s="130">
        <f t="shared" si="49"/>
        <v>0</v>
      </c>
      <c r="AL243" s="130"/>
      <c r="AM243" s="130"/>
      <c r="AN243" s="130"/>
      <c r="AO243" s="130">
        <f t="shared" si="47"/>
        <v>0</v>
      </c>
      <c r="AP243" s="119"/>
      <c r="AQ243" s="119"/>
      <c r="AR243" s="119"/>
      <c r="AS243" s="185"/>
      <c r="AT243" s="185"/>
      <c r="AU243" s="185"/>
      <c r="AV243" s="185"/>
      <c r="AW243" s="186">
        <f t="shared" si="50"/>
        <v>0</v>
      </c>
      <c r="AX243" s="186">
        <f t="shared" si="48"/>
        <v>0</v>
      </c>
      <c r="AY243" s="229"/>
      <c r="AZ243" s="229"/>
      <c r="BA243" s="229"/>
    </row>
    <row r="244" spans="1:53" s="230" customFormat="1" ht="25.5">
      <c r="A244" s="120">
        <f t="shared" si="51"/>
        <v>224</v>
      </c>
      <c r="B244" s="80" t="s">
        <v>385</v>
      </c>
      <c r="C244" s="121" t="s">
        <v>386</v>
      </c>
      <c r="D244" s="80" t="s">
        <v>97</v>
      </c>
      <c r="E244" s="80" t="s">
        <v>85</v>
      </c>
      <c r="F244" s="80"/>
      <c r="G244" s="80"/>
      <c r="H244" s="122">
        <v>43770</v>
      </c>
      <c r="I244" s="122">
        <v>43770</v>
      </c>
      <c r="J244" s="123">
        <v>100000000</v>
      </c>
      <c r="K244" s="124">
        <v>7.7499999999999999E-2</v>
      </c>
      <c r="L244" s="125">
        <v>0.9</v>
      </c>
      <c r="M244" s="126">
        <v>1</v>
      </c>
      <c r="N244" s="125">
        <v>12</v>
      </c>
      <c r="O244" s="126">
        <f t="shared" si="54"/>
        <v>581250</v>
      </c>
      <c r="P244" s="126">
        <f t="shared" si="55"/>
        <v>60665606.589831896</v>
      </c>
      <c r="Q244" s="126">
        <f t="shared" si="56"/>
        <v>352618.83830339788</v>
      </c>
      <c r="R244" s="126">
        <f t="shared" si="57"/>
        <v>228631.16169660212</v>
      </c>
      <c r="S244" s="127">
        <v>0.606656065898319</v>
      </c>
      <c r="T244" s="126"/>
      <c r="U244" s="125"/>
      <c r="V244" s="126">
        <f t="shared" si="52"/>
        <v>60665606.589831896</v>
      </c>
      <c r="W244" s="126">
        <f t="shared" si="52"/>
        <v>352618.83830339788</v>
      </c>
      <c r="X244" s="128">
        <f t="shared" si="53"/>
        <v>60665606.589831896</v>
      </c>
      <c r="Y244" s="128">
        <f t="shared" si="53"/>
        <v>352618.83830339788</v>
      </c>
      <c r="Z244" s="128"/>
      <c r="AA244" s="128"/>
      <c r="AB244" s="128"/>
      <c r="AC244" s="129"/>
      <c r="AD244" s="129"/>
      <c r="AE244" s="129"/>
      <c r="AF244" s="130"/>
      <c r="AG244" s="130"/>
      <c r="AH244" s="130"/>
      <c r="AI244" s="130"/>
      <c r="AJ244" s="130"/>
      <c r="AK244" s="130">
        <f t="shared" si="49"/>
        <v>0</v>
      </c>
      <c r="AL244" s="130"/>
      <c r="AM244" s="130"/>
      <c r="AN244" s="130"/>
      <c r="AO244" s="130">
        <f t="shared" si="47"/>
        <v>0</v>
      </c>
      <c r="AP244" s="119"/>
      <c r="AQ244" s="119"/>
      <c r="AR244" s="119"/>
      <c r="AS244" s="185"/>
      <c r="AT244" s="185"/>
      <c r="AU244" s="185"/>
      <c r="AV244" s="185"/>
      <c r="AW244" s="186">
        <f t="shared" si="50"/>
        <v>0</v>
      </c>
      <c r="AX244" s="186">
        <f t="shared" si="48"/>
        <v>0</v>
      </c>
      <c r="AY244" s="229"/>
      <c r="AZ244" s="229"/>
      <c r="BA244" s="229"/>
    </row>
    <row r="245" spans="1:53" s="230" customFormat="1" ht="25.5">
      <c r="A245" s="120">
        <f t="shared" si="51"/>
        <v>225</v>
      </c>
      <c r="B245" s="80" t="s">
        <v>385</v>
      </c>
      <c r="C245" s="121" t="s">
        <v>386</v>
      </c>
      <c r="D245" s="80" t="s">
        <v>97</v>
      </c>
      <c r="E245" s="80" t="s">
        <v>85</v>
      </c>
      <c r="F245" s="80"/>
      <c r="G245" s="80"/>
      <c r="H245" s="122">
        <v>43800</v>
      </c>
      <c r="I245" s="122">
        <v>43800</v>
      </c>
      <c r="J245" s="123">
        <v>100000000</v>
      </c>
      <c r="K245" s="124">
        <v>7.7499999999999999E-2</v>
      </c>
      <c r="L245" s="125">
        <v>0.9</v>
      </c>
      <c r="M245" s="126">
        <v>0</v>
      </c>
      <c r="N245" s="125">
        <v>12</v>
      </c>
      <c r="O245" s="126">
        <f t="shared" si="54"/>
        <v>0</v>
      </c>
      <c r="P245" s="126">
        <f t="shared" si="55"/>
        <v>60665606.589831896</v>
      </c>
      <c r="Q245" s="126">
        <f t="shared" si="56"/>
        <v>0</v>
      </c>
      <c r="R245" s="126">
        <f t="shared" si="57"/>
        <v>0</v>
      </c>
      <c r="S245" s="127">
        <v>0.606656065898319</v>
      </c>
      <c r="T245" s="126"/>
      <c r="U245" s="125"/>
      <c r="V245" s="126">
        <f t="shared" si="52"/>
        <v>60665606.589831896</v>
      </c>
      <c r="W245" s="126">
        <f t="shared" si="52"/>
        <v>0</v>
      </c>
      <c r="X245" s="128">
        <f t="shared" si="53"/>
        <v>60665606.589831896</v>
      </c>
      <c r="Y245" s="128">
        <f t="shared" si="53"/>
        <v>0</v>
      </c>
      <c r="Z245" s="128"/>
      <c r="AA245" s="128"/>
      <c r="AB245" s="128">
        <f t="shared" si="58"/>
        <v>0</v>
      </c>
      <c r="AC245" s="129">
        <v>0</v>
      </c>
      <c r="AD245" s="129">
        <f t="shared" ref="AD245:AD259" si="59">AB245/K245/L245/9*N245</f>
        <v>0</v>
      </c>
      <c r="AE245" s="129"/>
      <c r="AF245" s="130"/>
      <c r="AG245" s="130"/>
      <c r="AH245" s="130"/>
      <c r="AI245" s="130"/>
      <c r="AJ245" s="130"/>
      <c r="AK245" s="130">
        <f t="shared" si="49"/>
        <v>0</v>
      </c>
      <c r="AL245" s="130"/>
      <c r="AM245" s="130"/>
      <c r="AN245" s="130"/>
      <c r="AO245" s="130">
        <f t="shared" si="47"/>
        <v>0</v>
      </c>
      <c r="AP245" s="119">
        <f t="shared" si="46"/>
        <v>0</v>
      </c>
      <c r="AQ245" s="119"/>
      <c r="AR245" s="119"/>
      <c r="AS245" s="185"/>
      <c r="AT245" s="185"/>
      <c r="AU245" s="185"/>
      <c r="AV245" s="185"/>
      <c r="AW245" s="186">
        <f t="shared" si="50"/>
        <v>0</v>
      </c>
      <c r="AX245" s="186">
        <f t="shared" si="48"/>
        <v>0</v>
      </c>
      <c r="AY245" s="229"/>
      <c r="AZ245" s="229"/>
      <c r="BA245" s="229"/>
    </row>
    <row r="246" spans="1:53" s="230" customFormat="1" ht="25.5">
      <c r="A246" s="120">
        <f t="shared" si="51"/>
        <v>226</v>
      </c>
      <c r="B246" s="80" t="s">
        <v>385</v>
      </c>
      <c r="C246" s="121" t="s">
        <v>386</v>
      </c>
      <c r="D246" s="80" t="s">
        <v>97</v>
      </c>
      <c r="E246" s="80" t="s">
        <v>85</v>
      </c>
      <c r="F246" s="80"/>
      <c r="G246" s="80"/>
      <c r="H246" s="122">
        <v>43800</v>
      </c>
      <c r="I246" s="122">
        <v>43800</v>
      </c>
      <c r="J246" s="123">
        <v>100000000</v>
      </c>
      <c r="K246" s="124">
        <v>7.7499999999999999E-2</v>
      </c>
      <c r="L246" s="125">
        <v>0.9</v>
      </c>
      <c r="M246" s="126">
        <v>0</v>
      </c>
      <c r="N246" s="125">
        <v>12</v>
      </c>
      <c r="O246" s="126">
        <f t="shared" si="54"/>
        <v>0</v>
      </c>
      <c r="P246" s="126">
        <f t="shared" si="55"/>
        <v>60665606.589831896</v>
      </c>
      <c r="Q246" s="126">
        <f t="shared" si="56"/>
        <v>0</v>
      </c>
      <c r="R246" s="126">
        <f t="shared" si="57"/>
        <v>0</v>
      </c>
      <c r="S246" s="127">
        <v>0.606656065898319</v>
      </c>
      <c r="T246" s="126"/>
      <c r="U246" s="125"/>
      <c r="V246" s="126">
        <f t="shared" si="52"/>
        <v>60665606.589831896</v>
      </c>
      <c r="W246" s="126">
        <f t="shared" si="52"/>
        <v>0</v>
      </c>
      <c r="X246" s="128">
        <f t="shared" si="53"/>
        <v>60665606.589831896</v>
      </c>
      <c r="Y246" s="128">
        <f t="shared" si="53"/>
        <v>0</v>
      </c>
      <c r="Z246" s="128"/>
      <c r="AA246" s="128"/>
      <c r="AB246" s="128">
        <f t="shared" si="58"/>
        <v>0</v>
      </c>
      <c r="AC246" s="129">
        <v>0</v>
      </c>
      <c r="AD246" s="129">
        <f t="shared" si="59"/>
        <v>0</v>
      </c>
      <c r="AE246" s="129"/>
      <c r="AF246" s="130"/>
      <c r="AG246" s="130"/>
      <c r="AH246" s="130"/>
      <c r="AI246" s="130"/>
      <c r="AJ246" s="130"/>
      <c r="AK246" s="130">
        <f t="shared" si="49"/>
        <v>0</v>
      </c>
      <c r="AL246" s="130"/>
      <c r="AM246" s="130"/>
      <c r="AN246" s="130"/>
      <c r="AO246" s="130">
        <f t="shared" si="47"/>
        <v>0</v>
      </c>
      <c r="AP246" s="119">
        <f t="shared" si="46"/>
        <v>0</v>
      </c>
      <c r="AQ246" s="119"/>
      <c r="AR246" s="119"/>
      <c r="AS246" s="185"/>
      <c r="AT246" s="185"/>
      <c r="AU246" s="185"/>
      <c r="AV246" s="185"/>
      <c r="AW246" s="186">
        <f t="shared" si="50"/>
        <v>0</v>
      </c>
      <c r="AX246" s="186">
        <f t="shared" si="48"/>
        <v>0</v>
      </c>
      <c r="AY246" s="229"/>
      <c r="AZ246" s="229"/>
      <c r="BA246" s="229"/>
    </row>
    <row r="247" spans="1:53" s="222" customFormat="1" ht="38.25">
      <c r="A247" s="77">
        <f>A246+1</f>
        <v>227</v>
      </c>
      <c r="B247" s="78" t="s">
        <v>387</v>
      </c>
      <c r="C247" s="79" t="s">
        <v>388</v>
      </c>
      <c r="D247" s="78" t="s">
        <v>97</v>
      </c>
      <c r="E247" s="80" t="s">
        <v>85</v>
      </c>
      <c r="F247" s="78"/>
      <c r="G247" s="78"/>
      <c r="H247" s="81">
        <v>43497</v>
      </c>
      <c r="I247" s="81">
        <v>43497</v>
      </c>
      <c r="J247" s="82">
        <v>20000000</v>
      </c>
      <c r="K247" s="117">
        <v>7.7499999999999999E-2</v>
      </c>
      <c r="L247" s="85">
        <v>0.9</v>
      </c>
      <c r="M247" s="83">
        <v>10</v>
      </c>
      <c r="N247" s="85">
        <v>12</v>
      </c>
      <c r="O247" s="83">
        <f t="shared" si="54"/>
        <v>1162500</v>
      </c>
      <c r="P247" s="83">
        <f t="shared" si="55"/>
        <v>12133121.317966379</v>
      </c>
      <c r="Q247" s="83">
        <f t="shared" si="56"/>
        <v>705237.67660679575</v>
      </c>
      <c r="R247" s="83">
        <f t="shared" si="57"/>
        <v>457262.32339320425</v>
      </c>
      <c r="S247" s="84">
        <v>0.606656065898319</v>
      </c>
      <c r="T247" s="83"/>
      <c r="U247" s="85"/>
      <c r="V247" s="83">
        <f t="shared" si="52"/>
        <v>12133121.317966379</v>
      </c>
      <c r="W247" s="83">
        <f t="shared" si="52"/>
        <v>705237.67660679575</v>
      </c>
      <c r="X247" s="86">
        <f t="shared" si="53"/>
        <v>12133121.317966379</v>
      </c>
      <c r="Y247" s="86">
        <f t="shared" si="53"/>
        <v>705237.67660679575</v>
      </c>
      <c r="Z247" s="86">
        <f>2665787.67-Z249-Z250-479550.87</f>
        <v>705237.67999999982</v>
      </c>
      <c r="AA247" s="86"/>
      <c r="AB247" s="86">
        <f t="shared" si="58"/>
        <v>-3.3932040678337216E-3</v>
      </c>
      <c r="AC247" s="87">
        <v>7632326.2603403106</v>
      </c>
      <c r="AD247" s="87">
        <f t="shared" si="59"/>
        <v>-6.4864115992042476E-2</v>
      </c>
      <c r="AE247" s="87"/>
      <c r="AF247" s="88"/>
      <c r="AG247" s="88"/>
      <c r="AH247" s="88"/>
      <c r="AI247" s="88"/>
      <c r="AJ247" s="88"/>
      <c r="AK247" s="130">
        <f t="shared" si="49"/>
        <v>-3.3932040678337216E-3</v>
      </c>
      <c r="AL247" s="130"/>
      <c r="AM247" s="130"/>
      <c r="AN247" s="130"/>
      <c r="AO247" s="130">
        <f t="shared" si="47"/>
        <v>-3.3932040678337216E-3</v>
      </c>
      <c r="AP247" s="89">
        <f t="shared" si="46"/>
        <v>-7.2972130491047782E-2</v>
      </c>
      <c r="AQ247" s="182"/>
      <c r="AR247" s="182"/>
      <c r="AS247" s="183"/>
      <c r="AT247" s="183"/>
      <c r="AU247" s="183"/>
      <c r="AV247" s="183"/>
      <c r="AW247" s="186">
        <f t="shared" si="50"/>
        <v>-7.2972130491047782E-2</v>
      </c>
      <c r="AX247" s="186">
        <f t="shared" si="48"/>
        <v>-9.72961739880637E-2</v>
      </c>
      <c r="AY247" s="221"/>
      <c r="AZ247" s="221"/>
      <c r="BA247" s="221"/>
    </row>
    <row r="248" spans="1:53" ht="38.25">
      <c r="A248" s="151">
        <f t="shared" si="51"/>
        <v>228</v>
      </c>
      <c r="B248" s="152" t="s">
        <v>387</v>
      </c>
      <c r="C248" s="153" t="s">
        <v>388</v>
      </c>
      <c r="D248" s="152" t="s">
        <v>57</v>
      </c>
      <c r="E248" s="152" t="s">
        <v>85</v>
      </c>
      <c r="F248" s="152"/>
      <c r="G248" s="152"/>
      <c r="H248" s="154">
        <v>43497</v>
      </c>
      <c r="I248" s="154" t="s">
        <v>324</v>
      </c>
      <c r="J248" s="155">
        <v>10000000</v>
      </c>
      <c r="K248" s="156">
        <v>7.7499999999999999E-2</v>
      </c>
      <c r="L248" s="157">
        <v>0.9</v>
      </c>
      <c r="M248" s="158">
        <v>10</v>
      </c>
      <c r="N248" s="157">
        <v>12</v>
      </c>
      <c r="O248" s="158">
        <f t="shared" si="54"/>
        <v>581250</v>
      </c>
      <c r="P248" s="158">
        <f t="shared" si="55"/>
        <v>6066560.6589831896</v>
      </c>
      <c r="Q248" s="158">
        <f t="shared" si="56"/>
        <v>352618.83830339788</v>
      </c>
      <c r="R248" s="158">
        <f t="shared" si="57"/>
        <v>228631.16169660212</v>
      </c>
      <c r="S248" s="159">
        <v>0.606656065898319</v>
      </c>
      <c r="T248" s="158"/>
      <c r="U248" s="157"/>
      <c r="V248" s="158">
        <f t="shared" si="52"/>
        <v>6066560.6589831896</v>
      </c>
      <c r="W248" s="158">
        <f t="shared" si="52"/>
        <v>352618.83830339788</v>
      </c>
      <c r="X248" s="160">
        <f t="shared" si="53"/>
        <v>6066560.6589831896</v>
      </c>
      <c r="Y248" s="160">
        <f t="shared" si="53"/>
        <v>352618.83830339788</v>
      </c>
      <c r="Z248" s="160"/>
      <c r="AA248" s="160"/>
      <c r="AB248" s="160">
        <f t="shared" si="58"/>
        <v>352618.83830339788</v>
      </c>
      <c r="AC248" s="162">
        <v>0</v>
      </c>
      <c r="AD248" s="162">
        <f t="shared" si="59"/>
        <v>6740622.9544257652</v>
      </c>
      <c r="AE248" s="162"/>
      <c r="AF248" s="163"/>
      <c r="AG248" s="163"/>
      <c r="AH248" s="68"/>
      <c r="AI248" s="68"/>
      <c r="AJ248" s="69">
        <v>278113.32</v>
      </c>
      <c r="AK248" s="67">
        <f t="shared" si="49"/>
        <v>74505.518303397868</v>
      </c>
      <c r="AL248" s="67"/>
      <c r="AM248" s="67"/>
      <c r="AN248" s="67"/>
      <c r="AO248" s="67">
        <f t="shared" si="47"/>
        <v>74505.518303397868</v>
      </c>
      <c r="AP248" s="164">
        <f t="shared" si="46"/>
        <v>7583200.8237289861</v>
      </c>
      <c r="AQ248" s="164"/>
      <c r="AR248" s="164"/>
      <c r="AS248" s="165"/>
      <c r="AT248" s="72"/>
      <c r="AU248" s="72"/>
      <c r="AV248" s="113">
        <v>7580000</v>
      </c>
      <c r="AW248" s="74">
        <f t="shared" si="50"/>
        <v>3200.8237289860845</v>
      </c>
      <c r="AX248" s="74">
        <f t="shared" si="48"/>
        <v>2136358.9477676805</v>
      </c>
      <c r="AY248" s="150"/>
      <c r="AZ248" s="150"/>
      <c r="BA248" s="150"/>
    </row>
    <row r="249" spans="1:53" s="222" customFormat="1" ht="38.25">
      <c r="A249" s="77">
        <f t="shared" si="51"/>
        <v>229</v>
      </c>
      <c r="B249" s="78" t="s">
        <v>387</v>
      </c>
      <c r="C249" s="79" t="s">
        <v>388</v>
      </c>
      <c r="D249" s="78" t="s">
        <v>97</v>
      </c>
      <c r="E249" s="80" t="s">
        <v>85</v>
      </c>
      <c r="F249" s="78"/>
      <c r="G249" s="78"/>
      <c r="H249" s="81">
        <v>43525</v>
      </c>
      <c r="I249" s="81">
        <v>43525</v>
      </c>
      <c r="J249" s="82">
        <v>20000000</v>
      </c>
      <c r="K249" s="117">
        <v>7.7499999999999999E-2</v>
      </c>
      <c r="L249" s="85">
        <v>0.9</v>
      </c>
      <c r="M249" s="83">
        <v>9</v>
      </c>
      <c r="N249" s="85">
        <v>12</v>
      </c>
      <c r="O249" s="83">
        <f t="shared" si="54"/>
        <v>1046250</v>
      </c>
      <c r="P249" s="83">
        <f t="shared" si="55"/>
        <v>12133121.317966379</v>
      </c>
      <c r="Q249" s="83">
        <f t="shared" si="56"/>
        <v>634713.90894611622</v>
      </c>
      <c r="R249" s="83">
        <f t="shared" si="57"/>
        <v>411536.09105388378</v>
      </c>
      <c r="S249" s="84">
        <v>0.606656065898319</v>
      </c>
      <c r="T249" s="83"/>
      <c r="U249" s="85"/>
      <c r="V249" s="83">
        <f t="shared" si="52"/>
        <v>12133121.317966379</v>
      </c>
      <c r="W249" s="83">
        <f t="shared" si="52"/>
        <v>634713.90894611622</v>
      </c>
      <c r="X249" s="86">
        <f t="shared" si="53"/>
        <v>12133121.317966379</v>
      </c>
      <c r="Y249" s="86">
        <f t="shared" si="53"/>
        <v>634713.90894611622</v>
      </c>
      <c r="Z249" s="86">
        <v>634713.91</v>
      </c>
      <c r="AA249" s="86"/>
      <c r="AB249" s="86">
        <f t="shared" si="58"/>
        <v>-1.0538838105276227E-3</v>
      </c>
      <c r="AC249" s="87">
        <v>0</v>
      </c>
      <c r="AD249" s="87">
        <f t="shared" si="59"/>
        <v>-2.0145927082965309E-2</v>
      </c>
      <c r="AE249" s="87"/>
      <c r="AF249" s="88"/>
      <c r="AG249" s="88"/>
      <c r="AH249" s="88"/>
      <c r="AI249" s="88"/>
      <c r="AJ249" s="88"/>
      <c r="AK249" s="130">
        <f t="shared" si="49"/>
        <v>-1.0538838105276227E-3</v>
      </c>
      <c r="AL249" s="130"/>
      <c r="AM249" s="130"/>
      <c r="AN249" s="130"/>
      <c r="AO249" s="130">
        <f t="shared" si="47"/>
        <v>-1.0538838105276227E-3</v>
      </c>
      <c r="AP249" s="89">
        <f t="shared" ref="AP249:AP260" si="60">AB249/K249/L249/8*N249</f>
        <v>-2.2664167968335973E-2</v>
      </c>
      <c r="AQ249" s="182"/>
      <c r="AR249" s="182"/>
      <c r="AS249" s="183"/>
      <c r="AT249" s="183"/>
      <c r="AU249" s="183"/>
      <c r="AV249" s="183"/>
      <c r="AW249" s="186">
        <f t="shared" si="50"/>
        <v>-2.2664167968335973E-2</v>
      </c>
      <c r="AX249" s="223">
        <f t="shared" si="48"/>
        <v>-3.0218890624447964E-2</v>
      </c>
      <c r="AY249" s="221"/>
      <c r="AZ249" s="221"/>
      <c r="BA249" s="221"/>
    </row>
    <row r="250" spans="1:53" s="222" customFormat="1" ht="38.25">
      <c r="A250" s="77">
        <f t="shared" si="51"/>
        <v>230</v>
      </c>
      <c r="B250" s="78" t="s">
        <v>387</v>
      </c>
      <c r="C250" s="79" t="s">
        <v>388</v>
      </c>
      <c r="D250" s="78" t="s">
        <v>97</v>
      </c>
      <c r="E250" s="80" t="s">
        <v>85</v>
      </c>
      <c r="F250" s="78"/>
      <c r="G250" s="78"/>
      <c r="H250" s="81">
        <v>43556</v>
      </c>
      <c r="I250" s="81">
        <v>43556</v>
      </c>
      <c r="J250" s="82">
        <v>30000000</v>
      </c>
      <c r="K250" s="117">
        <v>7.7499999999999999E-2</v>
      </c>
      <c r="L250" s="85">
        <v>0.9</v>
      </c>
      <c r="M250" s="83">
        <v>8</v>
      </c>
      <c r="N250" s="85">
        <v>12</v>
      </c>
      <c r="O250" s="83">
        <f t="shared" si="54"/>
        <v>1395000</v>
      </c>
      <c r="P250" s="83">
        <f t="shared" si="55"/>
        <v>18199681.976949569</v>
      </c>
      <c r="Q250" s="83">
        <f t="shared" si="56"/>
        <v>846285.21192815492</v>
      </c>
      <c r="R250" s="83">
        <f t="shared" si="57"/>
        <v>548714.78807184508</v>
      </c>
      <c r="S250" s="84">
        <v>0.606656065898319</v>
      </c>
      <c r="T250" s="83"/>
      <c r="U250" s="85"/>
      <c r="V250" s="83">
        <f t="shared" si="52"/>
        <v>18199681.976949569</v>
      </c>
      <c r="W250" s="83">
        <f t="shared" si="52"/>
        <v>846285.21192815492</v>
      </c>
      <c r="X250" s="86">
        <f t="shared" si="53"/>
        <v>18199681.976949569</v>
      </c>
      <c r="Y250" s="86">
        <f t="shared" si="53"/>
        <v>846285.21192815492</v>
      </c>
      <c r="Z250" s="86">
        <v>846285.21</v>
      </c>
      <c r="AA250" s="86"/>
      <c r="AB250" s="86">
        <f t="shared" si="58"/>
        <v>1.9281549612060189E-3</v>
      </c>
      <c r="AC250" s="87">
        <v>0</v>
      </c>
      <c r="AD250" s="87">
        <f t="shared" si="59"/>
        <v>3.6858398302624017E-2</v>
      </c>
      <c r="AE250" s="87"/>
      <c r="AF250" s="88"/>
      <c r="AG250" s="88"/>
      <c r="AH250" s="88"/>
      <c r="AI250" s="88"/>
      <c r="AJ250" s="88"/>
      <c r="AK250" s="130">
        <f t="shared" si="49"/>
        <v>1.9281549612060189E-3</v>
      </c>
      <c r="AL250" s="130"/>
      <c r="AM250" s="130"/>
      <c r="AN250" s="130"/>
      <c r="AO250" s="130">
        <f t="shared" si="47"/>
        <v>1.9281549612060189E-3</v>
      </c>
      <c r="AP250" s="119">
        <f t="shared" si="60"/>
        <v>4.1465698090452023E-2</v>
      </c>
      <c r="AQ250" s="182"/>
      <c r="AR250" s="182"/>
      <c r="AS250" s="183"/>
      <c r="AT250" s="183"/>
      <c r="AU250" s="183"/>
      <c r="AV250" s="183"/>
      <c r="AW250" s="186">
        <f t="shared" si="50"/>
        <v>4.1465698090452023E-2</v>
      </c>
      <c r="AX250" s="186">
        <f t="shared" si="48"/>
        <v>5.5287597453936022E-2</v>
      </c>
      <c r="AY250" s="221"/>
      <c r="AZ250" s="221"/>
      <c r="BA250" s="221"/>
    </row>
    <row r="251" spans="1:53" ht="38.25">
      <c r="A251" s="151">
        <f t="shared" si="51"/>
        <v>231</v>
      </c>
      <c r="B251" s="152" t="s">
        <v>387</v>
      </c>
      <c r="C251" s="153" t="s">
        <v>388</v>
      </c>
      <c r="D251" s="169" t="s">
        <v>256</v>
      </c>
      <c r="E251" s="152" t="s">
        <v>85</v>
      </c>
      <c r="F251" s="152"/>
      <c r="G251" s="152"/>
      <c r="H251" s="154">
        <v>43586</v>
      </c>
      <c r="I251" s="154">
        <v>43586</v>
      </c>
      <c r="J251" s="155">
        <v>30000000</v>
      </c>
      <c r="K251" s="156">
        <v>7.7499999999999999E-2</v>
      </c>
      <c r="L251" s="157">
        <v>0.9</v>
      </c>
      <c r="M251" s="158">
        <v>7</v>
      </c>
      <c r="N251" s="157">
        <v>12</v>
      </c>
      <c r="O251" s="158">
        <f t="shared" si="54"/>
        <v>1220625</v>
      </c>
      <c r="P251" s="158">
        <f t="shared" si="55"/>
        <v>18199681.976949569</v>
      </c>
      <c r="Q251" s="158">
        <f t="shared" si="56"/>
        <v>740499.56043713551</v>
      </c>
      <c r="R251" s="158">
        <f t="shared" si="57"/>
        <v>480125.43956286449</v>
      </c>
      <c r="S251" s="159">
        <v>0.606656065898319</v>
      </c>
      <c r="T251" s="158"/>
      <c r="U251" s="157"/>
      <c r="V251" s="158">
        <f t="shared" si="52"/>
        <v>18199681.976949569</v>
      </c>
      <c r="W251" s="158">
        <f t="shared" si="52"/>
        <v>740499.56043713551</v>
      </c>
      <c r="X251" s="160">
        <f t="shared" si="53"/>
        <v>18199681.976949569</v>
      </c>
      <c r="Y251" s="160">
        <f t="shared" si="53"/>
        <v>740499.56043713551</v>
      </c>
      <c r="Z251" s="160">
        <v>479550.87</v>
      </c>
      <c r="AA251" s="160"/>
      <c r="AB251" s="184">
        <f t="shared" si="58"/>
        <v>260948.69043713552</v>
      </c>
      <c r="AC251" s="162">
        <v>0</v>
      </c>
      <c r="AD251" s="162">
        <f t="shared" si="59"/>
        <v>4988266.483864001</v>
      </c>
      <c r="AE251" s="162"/>
      <c r="AF251" s="163"/>
      <c r="AG251" s="163"/>
      <c r="AH251" s="68"/>
      <c r="AI251" s="68"/>
      <c r="AJ251" s="69"/>
      <c r="AK251" s="67">
        <f t="shared" si="49"/>
        <v>260948.69043713552</v>
      </c>
      <c r="AL251" s="67"/>
      <c r="AM251" s="67"/>
      <c r="AN251" s="67"/>
      <c r="AO251" s="67">
        <f t="shared" si="47"/>
        <v>260948.69043713552</v>
      </c>
      <c r="AP251" s="164">
        <f t="shared" si="60"/>
        <v>5611799.7943470012</v>
      </c>
      <c r="AQ251" s="164"/>
      <c r="AR251" s="164"/>
      <c r="AS251" s="165"/>
      <c r="AT251" s="72"/>
      <c r="AU251" s="72"/>
      <c r="AV251" s="73"/>
      <c r="AW251" s="74">
        <f t="shared" si="50"/>
        <v>5611799.7943470012</v>
      </c>
      <c r="AX251" s="74">
        <f t="shared" si="48"/>
        <v>7482399.725796001</v>
      </c>
      <c r="AY251" s="150"/>
      <c r="AZ251" s="150"/>
      <c r="BA251" s="150"/>
    </row>
    <row r="252" spans="1:53" ht="38.25">
      <c r="A252" s="151">
        <f t="shared" si="51"/>
        <v>232</v>
      </c>
      <c r="B252" s="152" t="s">
        <v>387</v>
      </c>
      <c r="C252" s="153" t="s">
        <v>388</v>
      </c>
      <c r="D252" s="152" t="s">
        <v>57</v>
      </c>
      <c r="E252" s="152" t="s">
        <v>85</v>
      </c>
      <c r="F252" s="152"/>
      <c r="G252" s="152"/>
      <c r="H252" s="154">
        <v>43770</v>
      </c>
      <c r="I252" s="154">
        <v>43770</v>
      </c>
      <c r="J252" s="155">
        <v>20000000</v>
      </c>
      <c r="K252" s="156">
        <v>7.7499999999999999E-2</v>
      </c>
      <c r="L252" s="157">
        <v>0.9</v>
      </c>
      <c r="M252" s="158">
        <v>1</v>
      </c>
      <c r="N252" s="157">
        <v>12</v>
      </c>
      <c r="O252" s="158">
        <f t="shared" si="54"/>
        <v>116250</v>
      </c>
      <c r="P252" s="158">
        <f t="shared" si="55"/>
        <v>12133121.317966379</v>
      </c>
      <c r="Q252" s="158">
        <f t="shared" si="56"/>
        <v>70523.767660679572</v>
      </c>
      <c r="R252" s="158">
        <f t="shared" si="57"/>
        <v>45726.232339320428</v>
      </c>
      <c r="S252" s="159">
        <v>0.606656065898319</v>
      </c>
      <c r="T252" s="158"/>
      <c r="U252" s="157"/>
      <c r="V252" s="158">
        <f t="shared" si="52"/>
        <v>12133121.317966379</v>
      </c>
      <c r="W252" s="158">
        <f t="shared" si="52"/>
        <v>70523.767660679572</v>
      </c>
      <c r="X252" s="160">
        <f t="shared" si="53"/>
        <v>12133121.317966379</v>
      </c>
      <c r="Y252" s="160">
        <f t="shared" si="53"/>
        <v>70523.767660679572</v>
      </c>
      <c r="Z252" s="160"/>
      <c r="AA252" s="160"/>
      <c r="AB252" s="160">
        <f t="shared" si="58"/>
        <v>70523.767660679572</v>
      </c>
      <c r="AC252" s="162">
        <v>0</v>
      </c>
      <c r="AD252" s="162">
        <f t="shared" si="59"/>
        <v>1348124.5908851533</v>
      </c>
      <c r="AE252" s="162"/>
      <c r="AF252" s="163"/>
      <c r="AG252" s="163"/>
      <c r="AH252" s="68"/>
      <c r="AI252" s="68"/>
      <c r="AJ252" s="69"/>
      <c r="AK252" s="67">
        <f t="shared" si="49"/>
        <v>70523.767660679572</v>
      </c>
      <c r="AL252" s="67"/>
      <c r="AM252" s="67"/>
      <c r="AN252" s="67"/>
      <c r="AO252" s="67">
        <f t="shared" si="47"/>
        <v>70523.767660679572</v>
      </c>
      <c r="AP252" s="164">
        <f t="shared" si="60"/>
        <v>1516640.1647457974</v>
      </c>
      <c r="AQ252" s="164"/>
      <c r="AR252" s="164"/>
      <c r="AS252" s="165"/>
      <c r="AT252" s="72"/>
      <c r="AU252" s="72"/>
      <c r="AV252" s="73"/>
      <c r="AW252" s="74">
        <f t="shared" si="50"/>
        <v>1516640.1647457974</v>
      </c>
      <c r="AX252" s="74">
        <f t="shared" si="48"/>
        <v>2022186.88632773</v>
      </c>
      <c r="AY252" s="150"/>
      <c r="AZ252" s="150"/>
      <c r="BA252" s="150"/>
    </row>
    <row r="253" spans="1:53" s="230" customFormat="1" ht="38.25">
      <c r="A253" s="120">
        <f t="shared" si="51"/>
        <v>233</v>
      </c>
      <c r="B253" s="80" t="s">
        <v>387</v>
      </c>
      <c r="C253" s="121" t="s">
        <v>388</v>
      </c>
      <c r="D253" s="80" t="s">
        <v>256</v>
      </c>
      <c r="E253" s="80" t="s">
        <v>85</v>
      </c>
      <c r="F253" s="80"/>
      <c r="G253" s="80"/>
      <c r="H253" s="122">
        <v>43800</v>
      </c>
      <c r="I253" s="122">
        <v>43800</v>
      </c>
      <c r="J253" s="123">
        <v>20000000</v>
      </c>
      <c r="K253" s="124">
        <v>7.7499999999999999E-2</v>
      </c>
      <c r="L253" s="125">
        <v>0.9</v>
      </c>
      <c r="M253" s="126">
        <v>0</v>
      </c>
      <c r="N253" s="125">
        <v>12</v>
      </c>
      <c r="O253" s="126">
        <f t="shared" si="54"/>
        <v>0</v>
      </c>
      <c r="P253" s="126">
        <f t="shared" si="55"/>
        <v>12133121.317966379</v>
      </c>
      <c r="Q253" s="126">
        <f t="shared" si="56"/>
        <v>0</v>
      </c>
      <c r="R253" s="126">
        <f t="shared" si="57"/>
        <v>0</v>
      </c>
      <c r="S253" s="127">
        <v>0.606656065898319</v>
      </c>
      <c r="T253" s="126"/>
      <c r="U253" s="125"/>
      <c r="V253" s="126">
        <f t="shared" si="52"/>
        <v>12133121.317966379</v>
      </c>
      <c r="W253" s="126">
        <f t="shared" si="52"/>
        <v>0</v>
      </c>
      <c r="X253" s="128">
        <f t="shared" si="53"/>
        <v>12133121.317966379</v>
      </c>
      <c r="Y253" s="128">
        <f t="shared" si="53"/>
        <v>0</v>
      </c>
      <c r="Z253" s="128"/>
      <c r="AA253" s="128"/>
      <c r="AB253" s="128">
        <f t="shared" si="58"/>
        <v>0</v>
      </c>
      <c r="AC253" s="129">
        <v>0</v>
      </c>
      <c r="AD253" s="129">
        <f t="shared" si="59"/>
        <v>0</v>
      </c>
      <c r="AE253" s="129"/>
      <c r="AF253" s="130"/>
      <c r="AG253" s="130"/>
      <c r="AH253" s="130"/>
      <c r="AI253" s="130"/>
      <c r="AJ253" s="130"/>
      <c r="AK253" s="130">
        <f t="shared" si="49"/>
        <v>0</v>
      </c>
      <c r="AL253" s="130"/>
      <c r="AM253" s="130"/>
      <c r="AN253" s="130"/>
      <c r="AO253" s="130">
        <f t="shared" si="47"/>
        <v>0</v>
      </c>
      <c r="AP253" s="119">
        <f t="shared" si="60"/>
        <v>0</v>
      </c>
      <c r="AQ253" s="119"/>
      <c r="AR253" s="119"/>
      <c r="AS253" s="185"/>
      <c r="AT253" s="185"/>
      <c r="AU253" s="185"/>
      <c r="AV253" s="185"/>
      <c r="AW253" s="186">
        <f t="shared" si="50"/>
        <v>0</v>
      </c>
      <c r="AX253" s="186">
        <f t="shared" si="48"/>
        <v>0</v>
      </c>
      <c r="AY253" s="229"/>
      <c r="AZ253" s="229"/>
      <c r="BA253" s="229"/>
    </row>
    <row r="254" spans="1:53" s="222" customFormat="1">
      <c r="A254" s="77">
        <f t="shared" si="51"/>
        <v>234</v>
      </c>
      <c r="B254" s="78" t="s">
        <v>389</v>
      </c>
      <c r="C254" s="79" t="s">
        <v>390</v>
      </c>
      <c r="D254" s="78" t="s">
        <v>97</v>
      </c>
      <c r="E254" s="80" t="s">
        <v>85</v>
      </c>
      <c r="F254" s="78"/>
      <c r="G254" s="78"/>
      <c r="H254" s="81">
        <v>43497</v>
      </c>
      <c r="I254" s="81">
        <v>43497</v>
      </c>
      <c r="J254" s="82">
        <v>5000000</v>
      </c>
      <c r="K254" s="117">
        <v>7.7499999999999999E-2</v>
      </c>
      <c r="L254" s="85">
        <v>0.9</v>
      </c>
      <c r="M254" s="83">
        <v>10</v>
      </c>
      <c r="N254" s="85">
        <v>12</v>
      </c>
      <c r="O254" s="83">
        <f t="shared" si="54"/>
        <v>290625</v>
      </c>
      <c r="P254" s="83">
        <f t="shared" si="55"/>
        <v>3033280.3294915948</v>
      </c>
      <c r="Q254" s="83">
        <f t="shared" si="56"/>
        <v>176309.41915169894</v>
      </c>
      <c r="R254" s="83">
        <f t="shared" si="57"/>
        <v>114315.58084830106</v>
      </c>
      <c r="S254" s="84">
        <v>0.606656065898319</v>
      </c>
      <c r="T254" s="118">
        <v>5000000</v>
      </c>
      <c r="U254" s="94">
        <f>290625-U256-U257-61422.76</f>
        <v>176309.41999999998</v>
      </c>
      <c r="V254" s="83">
        <f t="shared" si="52"/>
        <v>-1966719.6705084052</v>
      </c>
      <c r="W254" s="83">
        <f t="shared" si="52"/>
        <v>-8.4830104606226087E-4</v>
      </c>
      <c r="X254" s="86">
        <f t="shared" si="53"/>
        <v>-1966719.6705084052</v>
      </c>
      <c r="Y254" s="86">
        <f t="shared" si="53"/>
        <v>-8.4830104606226087E-4</v>
      </c>
      <c r="Z254" s="86"/>
      <c r="AA254" s="86"/>
      <c r="AB254" s="86">
        <f t="shared" si="58"/>
        <v>-8.4830104606226087E-4</v>
      </c>
      <c r="AC254" s="87">
        <v>1673216.7248815082</v>
      </c>
      <c r="AD254" s="87">
        <f t="shared" si="59"/>
        <v>-1.6216029554356241E-2</v>
      </c>
      <c r="AE254" s="87"/>
      <c r="AF254" s="88"/>
      <c r="AG254" s="88"/>
      <c r="AH254" s="88"/>
      <c r="AI254" s="88"/>
      <c r="AJ254" s="88"/>
      <c r="AK254" s="130">
        <f t="shared" si="49"/>
        <v>-8.4830104606226087E-4</v>
      </c>
      <c r="AL254" s="130"/>
      <c r="AM254" s="130"/>
      <c r="AN254" s="130"/>
      <c r="AO254" s="130">
        <f t="shared" si="47"/>
        <v>-8.4830104606226087E-4</v>
      </c>
      <c r="AP254" s="89">
        <f t="shared" si="60"/>
        <v>-1.8243033248650772E-2</v>
      </c>
      <c r="AQ254" s="182"/>
      <c r="AR254" s="182"/>
      <c r="AS254" s="183"/>
      <c r="AT254" s="183"/>
      <c r="AU254" s="183"/>
      <c r="AV254" s="183"/>
      <c r="AW254" s="186">
        <f t="shared" si="50"/>
        <v>-1.8243033248650772E-2</v>
      </c>
      <c r="AX254" s="186">
        <f t="shared" si="48"/>
        <v>-2.4324044331534362E-2</v>
      </c>
      <c r="AY254" s="221"/>
      <c r="AZ254" s="221"/>
      <c r="BA254" s="221"/>
    </row>
    <row r="255" spans="1:53" ht="25.5">
      <c r="A255" s="151">
        <f t="shared" si="51"/>
        <v>235</v>
      </c>
      <c r="B255" s="152" t="s">
        <v>389</v>
      </c>
      <c r="C255" s="153" t="s">
        <v>390</v>
      </c>
      <c r="D255" s="152" t="s">
        <v>57</v>
      </c>
      <c r="E255" s="152" t="s">
        <v>85</v>
      </c>
      <c r="F255" s="152"/>
      <c r="G255" s="152"/>
      <c r="H255" s="154">
        <v>43525</v>
      </c>
      <c r="I255" s="154" t="s">
        <v>324</v>
      </c>
      <c r="J255" s="155">
        <v>5000000</v>
      </c>
      <c r="K255" s="156">
        <v>7.7499999999999999E-2</v>
      </c>
      <c r="L255" s="157">
        <v>0.9</v>
      </c>
      <c r="M255" s="158">
        <v>9</v>
      </c>
      <c r="N255" s="157">
        <v>12</v>
      </c>
      <c r="O255" s="158">
        <f t="shared" si="54"/>
        <v>261562.5</v>
      </c>
      <c r="P255" s="158">
        <f t="shared" si="55"/>
        <v>3033280.3294915948</v>
      </c>
      <c r="Q255" s="158">
        <f t="shared" si="56"/>
        <v>158678.47723652906</v>
      </c>
      <c r="R255" s="158">
        <f t="shared" si="57"/>
        <v>102884.02276347094</v>
      </c>
      <c r="S255" s="159">
        <v>0.606656065898319</v>
      </c>
      <c r="T255" s="158"/>
      <c r="U255" s="157">
        <v>61422.76</v>
      </c>
      <c r="V255" s="158">
        <f t="shared" si="52"/>
        <v>3033280.3294915948</v>
      </c>
      <c r="W255" s="158">
        <f t="shared" si="52"/>
        <v>97255.717236529046</v>
      </c>
      <c r="X255" s="160">
        <f t="shared" si="53"/>
        <v>3033280.3294915948</v>
      </c>
      <c r="Y255" s="160">
        <f t="shared" si="53"/>
        <v>97255.717236529046</v>
      </c>
      <c r="Z255" s="160"/>
      <c r="AA255" s="160"/>
      <c r="AB255" s="160">
        <f t="shared" si="58"/>
        <v>97255.717236529046</v>
      </c>
      <c r="AC255" s="162">
        <v>0</v>
      </c>
      <c r="AD255" s="162">
        <f t="shared" si="59"/>
        <v>1859129.6006982853</v>
      </c>
      <c r="AE255" s="162"/>
      <c r="AF255" s="163"/>
      <c r="AG255" s="163"/>
      <c r="AH255" s="68">
        <v>85036.88</v>
      </c>
      <c r="AI255" s="68"/>
      <c r="AJ255" s="69"/>
      <c r="AK255" s="67">
        <f t="shared" si="49"/>
        <v>12218.837236529042</v>
      </c>
      <c r="AL255" s="67"/>
      <c r="AM255" s="67"/>
      <c r="AN255" s="67"/>
      <c r="AO255" s="67">
        <f t="shared" si="47"/>
        <v>12218.837236529042</v>
      </c>
      <c r="AP255" s="164">
        <f t="shared" si="60"/>
        <v>2091520.8007855709</v>
      </c>
      <c r="AQ255" s="164"/>
      <c r="AR255" s="164"/>
      <c r="AS255" s="165"/>
      <c r="AT255" s="107">
        <v>2090000</v>
      </c>
      <c r="AU255" s="107"/>
      <c r="AV255" s="113"/>
      <c r="AW255" s="74">
        <f t="shared" si="50"/>
        <v>1520.8007855708711</v>
      </c>
      <c r="AX255" s="74">
        <f t="shared" si="48"/>
        <v>350360.92434491875</v>
      </c>
      <c r="AY255" s="150"/>
      <c r="AZ255" s="150"/>
      <c r="BA255" s="150"/>
    </row>
    <row r="256" spans="1:53" s="222" customFormat="1">
      <c r="A256" s="77">
        <f t="shared" si="51"/>
        <v>236</v>
      </c>
      <c r="B256" s="78" t="s">
        <v>389</v>
      </c>
      <c r="C256" s="79" t="s">
        <v>390</v>
      </c>
      <c r="D256" s="78" t="s">
        <v>97</v>
      </c>
      <c r="E256" s="80" t="s">
        <v>85</v>
      </c>
      <c r="F256" s="78"/>
      <c r="G256" s="78"/>
      <c r="H256" s="81">
        <v>43739</v>
      </c>
      <c r="I256" s="81">
        <v>43739</v>
      </c>
      <c r="J256" s="82">
        <v>5000000</v>
      </c>
      <c r="K256" s="117">
        <v>7.7499999999999999E-2</v>
      </c>
      <c r="L256" s="85">
        <v>0.9</v>
      </c>
      <c r="M256" s="83">
        <v>2</v>
      </c>
      <c r="N256" s="85">
        <v>12</v>
      </c>
      <c r="O256" s="83">
        <f t="shared" si="54"/>
        <v>58125</v>
      </c>
      <c r="P256" s="83">
        <f t="shared" si="55"/>
        <v>3033280.3294915948</v>
      </c>
      <c r="Q256" s="83">
        <f t="shared" si="56"/>
        <v>35261.883830339786</v>
      </c>
      <c r="R256" s="83">
        <f t="shared" si="57"/>
        <v>22863.116169660214</v>
      </c>
      <c r="S256" s="84">
        <v>0.606656065898319</v>
      </c>
      <c r="T256" s="83"/>
      <c r="U256" s="85">
        <v>35261.879999999997</v>
      </c>
      <c r="V256" s="83">
        <f t="shared" si="52"/>
        <v>3033280.3294915948</v>
      </c>
      <c r="W256" s="83">
        <f t="shared" si="52"/>
        <v>3.830339788692072E-3</v>
      </c>
      <c r="X256" s="86">
        <f t="shared" si="53"/>
        <v>3033280.3294915948</v>
      </c>
      <c r="Y256" s="86">
        <f t="shared" si="53"/>
        <v>3.830339788692072E-3</v>
      </c>
      <c r="Z256" s="86"/>
      <c r="AA256" s="86"/>
      <c r="AB256" s="86">
        <f t="shared" si="58"/>
        <v>3.830339788692072E-3</v>
      </c>
      <c r="AC256" s="87">
        <v>0</v>
      </c>
      <c r="AD256" s="87">
        <f t="shared" si="59"/>
        <v>7.3220354383599945E-2</v>
      </c>
      <c r="AE256" s="87"/>
      <c r="AF256" s="88"/>
      <c r="AG256" s="88"/>
      <c r="AH256" s="88"/>
      <c r="AI256" s="88"/>
      <c r="AJ256" s="88"/>
      <c r="AK256" s="130">
        <f t="shared" si="49"/>
        <v>3.830339788692072E-3</v>
      </c>
      <c r="AL256" s="130"/>
      <c r="AM256" s="130"/>
      <c r="AN256" s="130"/>
      <c r="AO256" s="130">
        <f t="shared" si="47"/>
        <v>3.830339788692072E-3</v>
      </c>
      <c r="AP256" s="119">
        <f t="shared" si="60"/>
        <v>8.2372898681549941E-2</v>
      </c>
      <c r="AQ256" s="182"/>
      <c r="AR256" s="182"/>
      <c r="AS256" s="183"/>
      <c r="AT256" s="183"/>
      <c r="AU256" s="183"/>
      <c r="AV256" s="183"/>
      <c r="AW256" s="186">
        <f t="shared" si="50"/>
        <v>8.2372898681549941E-2</v>
      </c>
      <c r="AX256" s="186">
        <f t="shared" si="48"/>
        <v>0.10983053157539992</v>
      </c>
      <c r="AY256" s="221"/>
      <c r="AZ256" s="221"/>
      <c r="BA256" s="221"/>
    </row>
    <row r="257" spans="1:53" s="222" customFormat="1">
      <c r="A257" s="77">
        <f t="shared" si="51"/>
        <v>237</v>
      </c>
      <c r="B257" s="78" t="s">
        <v>389</v>
      </c>
      <c r="C257" s="79" t="s">
        <v>390</v>
      </c>
      <c r="D257" s="78" t="s">
        <v>97</v>
      </c>
      <c r="E257" s="80" t="s">
        <v>85</v>
      </c>
      <c r="F257" s="78"/>
      <c r="G257" s="78"/>
      <c r="H257" s="81">
        <v>43770</v>
      </c>
      <c r="I257" s="81">
        <v>43770</v>
      </c>
      <c r="J257" s="82">
        <v>5000000</v>
      </c>
      <c r="K257" s="117">
        <v>7.7499999999999999E-2</v>
      </c>
      <c r="L257" s="85">
        <v>0.9</v>
      </c>
      <c r="M257" s="83">
        <v>1</v>
      </c>
      <c r="N257" s="85">
        <v>12</v>
      </c>
      <c r="O257" s="83">
        <f t="shared" si="54"/>
        <v>29062.5</v>
      </c>
      <c r="P257" s="83">
        <f t="shared" si="55"/>
        <v>3033280.3294915948</v>
      </c>
      <c r="Q257" s="83">
        <f t="shared" si="56"/>
        <v>17630.941915169893</v>
      </c>
      <c r="R257" s="83">
        <f t="shared" si="57"/>
        <v>11431.558084830107</v>
      </c>
      <c r="S257" s="84">
        <v>0.606656065898319</v>
      </c>
      <c r="T257" s="83"/>
      <c r="U257" s="85">
        <v>17630.939999999999</v>
      </c>
      <c r="V257" s="83">
        <f t="shared" si="52"/>
        <v>3033280.3294915948</v>
      </c>
      <c r="W257" s="83">
        <f t="shared" si="52"/>
        <v>1.915169894346036E-3</v>
      </c>
      <c r="X257" s="86">
        <f t="shared" si="53"/>
        <v>3033280.3294915948</v>
      </c>
      <c r="Y257" s="86">
        <f t="shared" si="53"/>
        <v>1.915169894346036E-3</v>
      </c>
      <c r="Z257" s="86"/>
      <c r="AA257" s="86"/>
      <c r="AB257" s="86">
        <f t="shared" si="58"/>
        <v>1.915169894346036E-3</v>
      </c>
      <c r="AC257" s="87">
        <v>0</v>
      </c>
      <c r="AD257" s="87">
        <f t="shared" si="59"/>
        <v>3.6610177191799972E-2</v>
      </c>
      <c r="AE257" s="87"/>
      <c r="AF257" s="88"/>
      <c r="AG257" s="88"/>
      <c r="AH257" s="88"/>
      <c r="AI257" s="88"/>
      <c r="AJ257" s="88"/>
      <c r="AK257" s="130">
        <f t="shared" si="49"/>
        <v>1.915169894346036E-3</v>
      </c>
      <c r="AL257" s="130"/>
      <c r="AM257" s="130"/>
      <c r="AN257" s="130"/>
      <c r="AO257" s="130">
        <f t="shared" si="47"/>
        <v>1.915169894346036E-3</v>
      </c>
      <c r="AP257" s="119">
        <f t="shared" si="60"/>
        <v>4.1186449340774971E-2</v>
      </c>
      <c r="AQ257" s="182"/>
      <c r="AR257" s="182"/>
      <c r="AS257" s="183"/>
      <c r="AT257" s="183"/>
      <c r="AU257" s="183"/>
      <c r="AV257" s="183"/>
      <c r="AW257" s="186">
        <f t="shared" si="50"/>
        <v>4.1186449340774971E-2</v>
      </c>
      <c r="AX257" s="186">
        <f t="shared" si="48"/>
        <v>5.4915265787699959E-2</v>
      </c>
      <c r="AY257" s="221"/>
      <c r="AZ257" s="221"/>
      <c r="BA257" s="221"/>
    </row>
    <row r="258" spans="1:53" s="222" customFormat="1">
      <c r="A258" s="77">
        <f t="shared" si="51"/>
        <v>238</v>
      </c>
      <c r="B258" s="78" t="s">
        <v>389</v>
      </c>
      <c r="C258" s="79" t="s">
        <v>390</v>
      </c>
      <c r="D258" s="78" t="s">
        <v>97</v>
      </c>
      <c r="E258" s="80" t="s">
        <v>85</v>
      </c>
      <c r="F258" s="78"/>
      <c r="G258" s="78"/>
      <c r="H258" s="81">
        <v>43800</v>
      </c>
      <c r="I258" s="81">
        <v>43800</v>
      </c>
      <c r="J258" s="82">
        <v>5000000</v>
      </c>
      <c r="K258" s="117">
        <v>7.7499999999999999E-2</v>
      </c>
      <c r="L258" s="85">
        <v>0.9</v>
      </c>
      <c r="M258" s="83">
        <v>0</v>
      </c>
      <c r="N258" s="85">
        <v>12</v>
      </c>
      <c r="O258" s="83">
        <f t="shared" si="54"/>
        <v>0</v>
      </c>
      <c r="P258" s="83">
        <f t="shared" si="55"/>
        <v>3033280.3294915948</v>
      </c>
      <c r="Q258" s="83">
        <f t="shared" si="56"/>
        <v>0</v>
      </c>
      <c r="R258" s="83">
        <f t="shared" si="57"/>
        <v>0</v>
      </c>
      <c r="S258" s="84">
        <v>0.606656065898319</v>
      </c>
      <c r="T258" s="83"/>
      <c r="U258" s="85"/>
      <c r="V258" s="83">
        <f t="shared" si="52"/>
        <v>3033280.3294915948</v>
      </c>
      <c r="W258" s="83">
        <f t="shared" si="52"/>
        <v>0</v>
      </c>
      <c r="X258" s="86">
        <f t="shared" si="53"/>
        <v>3033280.3294915948</v>
      </c>
      <c r="Y258" s="86">
        <f t="shared" si="53"/>
        <v>0</v>
      </c>
      <c r="Z258" s="86"/>
      <c r="AA258" s="86"/>
      <c r="AB258" s="86">
        <f t="shared" si="58"/>
        <v>0</v>
      </c>
      <c r="AC258" s="87">
        <v>0</v>
      </c>
      <c r="AD258" s="87">
        <f t="shared" si="59"/>
        <v>0</v>
      </c>
      <c r="AE258" s="87"/>
      <c r="AF258" s="88"/>
      <c r="AG258" s="88"/>
      <c r="AH258" s="88"/>
      <c r="AI258" s="88"/>
      <c r="AJ258" s="88"/>
      <c r="AK258" s="130">
        <f t="shared" si="49"/>
        <v>0</v>
      </c>
      <c r="AL258" s="130"/>
      <c r="AM258" s="130"/>
      <c r="AN258" s="130"/>
      <c r="AO258" s="130">
        <f t="shared" si="47"/>
        <v>0</v>
      </c>
      <c r="AP258" s="119">
        <f t="shared" si="60"/>
        <v>0</v>
      </c>
      <c r="AQ258" s="182"/>
      <c r="AR258" s="182"/>
      <c r="AS258" s="183"/>
      <c r="AT258" s="183"/>
      <c r="AU258" s="183"/>
      <c r="AV258" s="183"/>
      <c r="AW258" s="186">
        <f t="shared" si="50"/>
        <v>0</v>
      </c>
      <c r="AX258" s="186">
        <f t="shared" si="48"/>
        <v>0</v>
      </c>
      <c r="AY258" s="221"/>
      <c r="AZ258" s="221"/>
      <c r="BA258" s="221"/>
    </row>
    <row r="259" spans="1:53" s="222" customFormat="1" ht="25.5">
      <c r="A259" s="77">
        <f t="shared" si="51"/>
        <v>239</v>
      </c>
      <c r="B259" s="78" t="s">
        <v>391</v>
      </c>
      <c r="C259" s="79" t="s">
        <v>392</v>
      </c>
      <c r="D259" s="78" t="s">
        <v>57</v>
      </c>
      <c r="E259" s="80" t="s">
        <v>85</v>
      </c>
      <c r="F259" s="78"/>
      <c r="G259" s="78"/>
      <c r="H259" s="81">
        <v>43466</v>
      </c>
      <c r="I259" s="81">
        <v>43466</v>
      </c>
      <c r="J259" s="82">
        <v>22000000</v>
      </c>
      <c r="K259" s="117">
        <v>7.7499999999999999E-2</v>
      </c>
      <c r="L259" s="85">
        <v>0.9</v>
      </c>
      <c r="M259" s="83">
        <v>10</v>
      </c>
      <c r="N259" s="85">
        <v>12</v>
      </c>
      <c r="O259" s="83">
        <f t="shared" si="54"/>
        <v>1278750</v>
      </c>
      <c r="P259" s="83">
        <f t="shared" si="55"/>
        <v>13346433.449763019</v>
      </c>
      <c r="Q259" s="83">
        <f t="shared" si="56"/>
        <v>775761.44426747551</v>
      </c>
      <c r="R259" s="83">
        <f t="shared" si="57"/>
        <v>502988.55573252449</v>
      </c>
      <c r="S259" s="84">
        <v>0.606656065898319</v>
      </c>
      <c r="T259" s="118">
        <v>22000000</v>
      </c>
      <c r="U259" s="94">
        <v>1278750</v>
      </c>
      <c r="V259" s="83">
        <f t="shared" si="52"/>
        <v>-8653566.5502369814</v>
      </c>
      <c r="W259" s="83">
        <f t="shared" si="52"/>
        <v>-502988.55573252449</v>
      </c>
      <c r="X259" s="86">
        <f t="shared" si="53"/>
        <v>-8653566.5502369814</v>
      </c>
      <c r="Y259" s="86">
        <f t="shared" si="53"/>
        <v>-502988.55573252449</v>
      </c>
      <c r="Z259" s="86"/>
      <c r="AA259" s="86"/>
      <c r="AB259" s="86">
        <f t="shared" si="58"/>
        <v>-502988.55573252449</v>
      </c>
      <c r="AC259" s="87">
        <v>-17773693.759457152</v>
      </c>
      <c r="AD259" s="87">
        <f t="shared" si="59"/>
        <v>-9615073.944707755</v>
      </c>
      <c r="AE259" s="87"/>
      <c r="AF259" s="88"/>
      <c r="AG259" s="88"/>
      <c r="AH259" s="88"/>
      <c r="AI259" s="88"/>
      <c r="AJ259" s="88"/>
      <c r="AK259" s="130">
        <f t="shared" si="49"/>
        <v>-502988.55573252449</v>
      </c>
      <c r="AL259" s="130"/>
      <c r="AM259" s="130"/>
      <c r="AN259" s="130"/>
      <c r="AO259" s="130">
        <f t="shared" si="47"/>
        <v>-502988.55573252449</v>
      </c>
      <c r="AP259" s="89">
        <f t="shared" si="60"/>
        <v>-10816958.187796224</v>
      </c>
      <c r="AQ259" s="182"/>
      <c r="AR259" s="182"/>
      <c r="AS259" s="183"/>
      <c r="AT259" s="183"/>
      <c r="AU259" s="183"/>
      <c r="AV259" s="183"/>
      <c r="AW259" s="186">
        <f t="shared" si="50"/>
        <v>-10816958.187796224</v>
      </c>
      <c r="AX259" s="223">
        <f t="shared" si="48"/>
        <v>-14422610.917061632</v>
      </c>
      <c r="AY259" s="221"/>
      <c r="AZ259" s="221"/>
      <c r="BA259" s="221"/>
    </row>
    <row r="260" spans="1:53" s="222" customFormat="1" ht="25.5">
      <c r="A260" s="77">
        <f t="shared" si="51"/>
        <v>240</v>
      </c>
      <c r="B260" s="78" t="s">
        <v>391</v>
      </c>
      <c r="C260" s="79" t="s">
        <v>392</v>
      </c>
      <c r="D260" s="78" t="s">
        <v>57</v>
      </c>
      <c r="E260" s="80" t="s">
        <v>85</v>
      </c>
      <c r="F260" s="78"/>
      <c r="G260" s="78"/>
      <c r="H260" s="81">
        <v>43497</v>
      </c>
      <c r="I260" s="81">
        <v>43497</v>
      </c>
      <c r="J260" s="82">
        <v>12000000</v>
      </c>
      <c r="K260" s="117">
        <v>7.7499999999999999E-2</v>
      </c>
      <c r="L260" s="85">
        <v>0.9</v>
      </c>
      <c r="M260" s="83">
        <v>10</v>
      </c>
      <c r="N260" s="85">
        <v>12</v>
      </c>
      <c r="O260" s="83">
        <f t="shared" si="54"/>
        <v>697500</v>
      </c>
      <c r="P260" s="83">
        <f t="shared" si="55"/>
        <v>7279872.7907798281</v>
      </c>
      <c r="Q260" s="83">
        <f t="shared" si="56"/>
        <v>423142.60596407746</v>
      </c>
      <c r="R260" s="83">
        <f t="shared" si="57"/>
        <v>274357.39403592254</v>
      </c>
      <c r="S260" s="84">
        <v>0.606656065898319</v>
      </c>
      <c r="T260" s="241">
        <v>16400000</v>
      </c>
      <c r="U260" s="181">
        <v>953250</v>
      </c>
      <c r="V260" s="83">
        <f t="shared" si="52"/>
        <v>-9120127.209220171</v>
      </c>
      <c r="W260" s="83">
        <f t="shared" si="52"/>
        <v>-530107.3940359226</v>
      </c>
      <c r="X260" s="86">
        <f t="shared" si="53"/>
        <v>-9120127.209220171</v>
      </c>
      <c r="Y260" s="86">
        <f t="shared" si="53"/>
        <v>-530107.3940359226</v>
      </c>
      <c r="Z260" s="86"/>
      <c r="AA260" s="86"/>
      <c r="AB260" s="86">
        <f t="shared" si="58"/>
        <v>-530107.3940359226</v>
      </c>
      <c r="AC260" s="87">
        <v>0</v>
      </c>
      <c r="AD260" s="87">
        <f>Y260/K260/L260/10*N260</f>
        <v>-9120127.2092201728</v>
      </c>
      <c r="AE260" s="87"/>
      <c r="AF260" s="88"/>
      <c r="AG260" s="88"/>
      <c r="AH260" s="88"/>
      <c r="AI260" s="88"/>
      <c r="AJ260" s="88"/>
      <c r="AK260" s="130">
        <f t="shared" si="49"/>
        <v>-530107.3940359226</v>
      </c>
      <c r="AL260" s="130"/>
      <c r="AM260" s="130"/>
      <c r="AN260" s="130"/>
      <c r="AO260" s="130">
        <f t="shared" si="47"/>
        <v>-530107.3940359226</v>
      </c>
      <c r="AP260" s="89">
        <f t="shared" si="60"/>
        <v>-11400159.011525216</v>
      </c>
      <c r="AQ260" s="182"/>
      <c r="AR260" s="182"/>
      <c r="AS260" s="183"/>
      <c r="AT260" s="183"/>
      <c r="AU260" s="183"/>
      <c r="AV260" s="183"/>
      <c r="AW260" s="186">
        <f t="shared" si="50"/>
        <v>-11400159.011525216</v>
      </c>
      <c r="AX260" s="223">
        <f t="shared" si="48"/>
        <v>-15200212.015366957</v>
      </c>
      <c r="AY260" s="221"/>
      <c r="AZ260" s="221"/>
      <c r="BA260" s="221"/>
    </row>
    <row r="261" spans="1:53">
      <c r="A261" s="194"/>
      <c r="B261" s="157"/>
      <c r="C261" s="195"/>
      <c r="D261" s="157"/>
      <c r="E261" s="157"/>
      <c r="F261" s="157"/>
      <c r="G261" s="157"/>
      <c r="H261" s="157"/>
      <c r="I261" s="157"/>
      <c r="J261" s="196">
        <f>SUM(J8:J260)</f>
        <v>3882200000</v>
      </c>
      <c r="K261" s="197"/>
      <c r="L261" s="197"/>
      <c r="M261" s="197"/>
      <c r="N261" s="197"/>
      <c r="O261" s="196">
        <f>SUM(O8:O260)</f>
        <v>158019206.25</v>
      </c>
      <c r="P261" s="197">
        <f>SUM(P8:P260)</f>
        <v>2355160179.0304556</v>
      </c>
      <c r="Q261" s="197">
        <f t="shared" ref="Q261:BA261" si="61">SUM(Q8:Q260)</f>
        <v>95863310.000000089</v>
      </c>
      <c r="R261" s="197">
        <f t="shared" si="61"/>
        <v>62155896.24999994</v>
      </c>
      <c r="S261" s="198" t="s">
        <v>54</v>
      </c>
      <c r="T261" s="197">
        <f t="shared" si="61"/>
        <v>643240000</v>
      </c>
      <c r="U261" s="197">
        <f t="shared" si="61"/>
        <v>37351540</v>
      </c>
      <c r="V261" s="196">
        <f t="shared" si="61"/>
        <v>1711920179.0304534</v>
      </c>
      <c r="W261" s="197">
        <f t="shared" si="61"/>
        <v>58511770.000000045</v>
      </c>
      <c r="X261" s="197">
        <f t="shared" si="61"/>
        <v>1711920179.0304534</v>
      </c>
      <c r="Y261" s="197">
        <f t="shared" si="61"/>
        <v>58511770.00000006</v>
      </c>
      <c r="Z261" s="197">
        <f t="shared" si="61"/>
        <v>34466565.230000004</v>
      </c>
      <c r="AA261" s="197">
        <f t="shared" si="61"/>
        <v>4112188.71</v>
      </c>
      <c r="AB261" s="197">
        <f t="shared" si="61"/>
        <v>17385200.989021912</v>
      </c>
      <c r="AC261" s="197">
        <f t="shared" si="61"/>
        <v>321216518.41163057</v>
      </c>
      <c r="AD261" s="197">
        <f t="shared" si="61"/>
        <v>333346938.65568453</v>
      </c>
      <c r="AE261" s="197">
        <f t="shared" si="61"/>
        <v>675218.13</v>
      </c>
      <c r="AF261" s="197">
        <f t="shared" si="61"/>
        <v>-4129356.95</v>
      </c>
      <c r="AG261" s="197">
        <f t="shared" si="61"/>
        <v>878850</v>
      </c>
      <c r="AH261" s="199">
        <f t="shared" si="61"/>
        <v>4828460.4799999995</v>
      </c>
      <c r="AI261" s="199">
        <f t="shared" si="61"/>
        <v>27990.78</v>
      </c>
      <c r="AJ261" s="199">
        <f t="shared" si="61"/>
        <v>821953.1100000001</v>
      </c>
      <c r="AK261" s="197">
        <f t="shared" si="61"/>
        <v>6023371.5390219036</v>
      </c>
      <c r="AL261" s="197">
        <f t="shared" si="61"/>
        <v>10533.76</v>
      </c>
      <c r="AM261" s="197">
        <f t="shared" si="61"/>
        <v>1913722.15</v>
      </c>
      <c r="AN261" s="197">
        <f t="shared" si="61"/>
        <v>52312.5</v>
      </c>
      <c r="AO261" s="197">
        <f t="shared" si="61"/>
        <v>3465553.1271456908</v>
      </c>
      <c r="AP261" s="200">
        <f t="shared" si="61"/>
        <v>374113635.74849546</v>
      </c>
      <c r="AQ261" s="201">
        <f t="shared" si="61"/>
        <v>14520820</v>
      </c>
      <c r="AR261" s="202">
        <f t="shared" si="61"/>
        <v>-88803375.1023729</v>
      </c>
      <c r="AS261" s="203">
        <f t="shared" si="61"/>
        <v>21000000</v>
      </c>
      <c r="AT261" s="204">
        <f t="shared" si="61"/>
        <v>120729999.99999999</v>
      </c>
      <c r="AU261" s="204">
        <f t="shared" si="61"/>
        <v>930000</v>
      </c>
      <c r="AV261" s="204">
        <f t="shared" si="61"/>
        <v>22479999.995081156</v>
      </c>
      <c r="AW261" s="203">
        <f t="shared" si="61"/>
        <v>105649440.65104164</v>
      </c>
      <c r="AX261" s="205">
        <f t="shared" si="61"/>
        <v>99370698.986256272</v>
      </c>
      <c r="AY261" s="205">
        <f t="shared" si="61"/>
        <v>350000</v>
      </c>
      <c r="AZ261" s="205">
        <f t="shared" si="61"/>
        <v>55200000</v>
      </c>
      <c r="BA261" s="205">
        <f t="shared" si="61"/>
        <v>1500000</v>
      </c>
    </row>
    <row r="262" spans="1:53">
      <c r="S262" s="208"/>
      <c r="X262" s="209"/>
      <c r="Y262" s="209">
        <f>SUBTOTAL(9,Y16,Y26,Y31,Y34,Y38,Y43,Y64,Y65,Y68,Y90,Y91,Y92,Y94,Y95,Y101,Y137,Y139,Y151,Y153,Y165,Y177,Y183,Y188,Y189,Y190,Y206,Y215,Y259)</f>
        <v>-9791225.9696182515</v>
      </c>
      <c r="Z262" s="209"/>
      <c r="AA262" s="209"/>
      <c r="AB262" s="209">
        <v>-10722646.94730572</v>
      </c>
      <c r="AC262" s="209"/>
      <c r="AD262" s="209"/>
      <c r="AE262" s="209"/>
      <c r="AF262" s="209"/>
      <c r="AG262" s="209"/>
      <c r="AH262" s="210"/>
      <c r="AI262" s="210"/>
      <c r="AJ262" s="211"/>
      <c r="AK262" s="209"/>
      <c r="AL262" s="209"/>
      <c r="AM262" s="209"/>
      <c r="AN262" s="209"/>
      <c r="AO262" s="209"/>
    </row>
    <row r="263" spans="1:53">
      <c r="X263" s="209"/>
      <c r="Y263" s="209"/>
      <c r="Z263" s="209"/>
      <c r="AA263" s="209"/>
      <c r="AB263" s="209">
        <v>30661060.957519408</v>
      </c>
      <c r="AC263" s="209"/>
      <c r="AD263" s="209"/>
      <c r="AE263" s="209"/>
      <c r="AF263" s="209"/>
      <c r="AG263" s="209"/>
      <c r="AH263" s="210"/>
      <c r="AI263" s="210"/>
      <c r="AJ263" s="211"/>
      <c r="AK263" s="209"/>
      <c r="AL263" s="209"/>
      <c r="AM263" s="209"/>
      <c r="AN263" s="209"/>
      <c r="AO263" s="209"/>
    </row>
    <row r="264" spans="1:53">
      <c r="X264" s="209"/>
      <c r="Y264" s="209"/>
      <c r="Z264" s="209"/>
      <c r="AA264" s="209"/>
      <c r="AB264" s="209"/>
      <c r="AC264" s="209"/>
    </row>
    <row r="265" spans="1:53" hidden="1">
      <c r="AB265" s="209">
        <f>Q261-U261-Z261-AA261</f>
        <v>19933016.060000084</v>
      </c>
      <c r="AG265" s="9" t="s">
        <v>393</v>
      </c>
      <c r="AK265" s="212">
        <f>AB265-AE261-AG261-AH261-AI261-AJ261</f>
        <v>12700543.560000086</v>
      </c>
      <c r="AL265" s="212"/>
      <c r="AM265" s="212"/>
      <c r="AN265" s="212"/>
      <c r="AO265" s="212">
        <f>AK265-AL261-AM261-AN261</f>
        <v>10723975.150000086</v>
      </c>
      <c r="AP265" s="1" t="s">
        <v>394</v>
      </c>
    </row>
    <row r="266" spans="1:53" hidden="1">
      <c r="AA266" s="8" t="s">
        <v>395</v>
      </c>
      <c r="AB266" s="209">
        <f>AB8+AB9+AB10+AB11+AB13+AB15+AB17+AB18+AB19+AB20+AB22+AB23+AB24+AB25+AB28+AB29+AB30+AB32+AB33+AB35+AB36+AB37+AB44+AB47+AB49+AB50+AB51+AB63+AB66+AB67+AB71+AB75+AB76+AB77+AB78+AB82+AB84+AB85+AB86+AB87+AB88+AB89+AB93+AB96+AB98+AB100+AB106+AB107+AB108+AB109+AB110+AB112+AB115+AB116+AB117+AB126+AB127+AB130+AB135+AB136+AB138+AB141+AB143+AB144+AB145+AB146+AB147+AB161+AB162+AB163+AB164+AB166+AB167+AB168+AB169+AB170+AB171+AB172+AB173+AB174+AB175+AB176+AB179+AB193+AB194+AB196+AB197+AB204+AB210+AB211+AB212+AB213+AB214+AB232</f>
        <v>18864579.577179383</v>
      </c>
      <c r="AE266" s="9" t="s">
        <v>396</v>
      </c>
      <c r="AF266" s="209">
        <f>AF8+AF9+AF10+AF11+AF13+AF15+AF17+AF18+AF19+AF20+AF22+AF23+AF24+AF25+AF28+AF29+AF30+AF32+AF33+AF35+AF36+AF37+AF44+AF47+AF49+AF50+AF51+AF63+AF66+AF67+AF71+AF75+AF76+AF77+AF78+AF82+AF84+AF85+AF86+AF87+AF88+AF89+AF93+AF96+AF98+AF100+AF106+AF107+AF108+AF109+AF110+AF112+AF115+AF116+AF117+AF126+AF127+AF130+AF135+AF136+AF138+AF141+AF143+AF144+AF145+AF146+AF147+AF161+AF162+AF163+AF164+AF166+AF167+AF168+AF169+AF170+AF171+AF172+AF173+AF174+AF175+AF176+AF179+AF193+AF194+AF196+AF197+AF204+AF210+AF211+AF212+AF213+AF214+AF232</f>
        <v>-3917785.6500000004</v>
      </c>
      <c r="AG266" s="209"/>
      <c r="AH266" s="210"/>
      <c r="AI266" s="210">
        <f>AE261+AG261+AH261+AI261+AJ261</f>
        <v>7232472.5</v>
      </c>
      <c r="AJ266" s="211"/>
      <c r="AK266" s="160">
        <f>AK8+AK9+AK10+AK11+AK13+AK15+AK17+AK18+AK19+AK20+AK24+AK25+AK28+AK29+AK32+AK33+AK37+AK47+AK49+AK50+AK51+AK63+AK67+AK75+AK76+AK77+AK82+AK84+AK85+AK86+AK87+AK88+AK89+AK93+AK100+AK106+AK108+AK109+AK110+AK112+AK115+AK116+AK117+AK126+AK127+AK130+AK135+AK136+AK138+AK143+AK144+AK145+AK146+AK160+AK161+AK162+AK163+AK164+AK166+AK170+AK172+AK173+AK174+AK175+AK176+AK179+AK194+AK196+AK197+AK204+AK212+AK232</f>
        <v>11874535.777238453</v>
      </c>
      <c r="AL266" s="212"/>
      <c r="AM266" s="212"/>
      <c r="AN266" s="212"/>
      <c r="AO266" s="212">
        <f>AO8+AO9+AO10+AO11+AO13+AO15+AO17+AO18+AO19+AO20+AO22+AO23+AO24+AO25+AO29+AO30+AO33+AO35+AO37+AO47+AO49+AO50+AO51+AO60+AO61+AO63+AO66+AO67+AO71+AO73+AO75+AO77+AO83+AO84+AO85+AO87+AO88+AO89+AO93+AO96+AO100+AO106+AO109+AO110+AO112+AO115+AO116+AO117+AO123+AO127+AO128+AO130+AO132+AO135+AO136+AO138+AO143+AO144+AO145+AO146+AO147+AO157+AO158+AO159+AO161+AO162+AO163+AO164+AO166+AO168+AO169+AO170+AO172+AO173+AO174+AO176+AO179+AO187+AO196+AO197+AO232+AO248+AO251+AO252+AO255</f>
        <v>14153511.864671484</v>
      </c>
      <c r="AP266" s="1" t="s">
        <v>397</v>
      </c>
      <c r="AQ266" s="9" t="s">
        <v>398</v>
      </c>
      <c r="AR266" s="9"/>
      <c r="AX266" s="1" t="s">
        <v>406</v>
      </c>
    </row>
    <row r="267" spans="1:53" hidden="1">
      <c r="AA267" s="8" t="s">
        <v>399</v>
      </c>
      <c r="AB267" s="209">
        <f>AB83+AB123+AB132++AB159+AB160+AB205+AB248+AB252+AB255+AB204+AB32</f>
        <v>3384078.2227284196</v>
      </c>
      <c r="AE267" s="9" t="s">
        <v>400</v>
      </c>
      <c r="AK267" s="160">
        <f>AK22+AK23+AK35+AK66+AK83+AK96+AK132+AK157+AK158+AK159+AK167+AK187+AK205+AK248+AK252+AK255</f>
        <v>2959611.3328340263</v>
      </c>
      <c r="AL267" s="160"/>
      <c r="AM267" s="160"/>
      <c r="AN267" s="160"/>
      <c r="AO267" s="160">
        <f>AO8+AO9+AO10+AO11+AO13+AO15+AO17+AO18+AO19+AO20+AO24+AO25+AO33+AO37+AO47+AO49+AO50+AO51+AO63+AO67+AO75+AO77+AO84+AO85+AO86+AO87+AO88+AO89+AO93+AO100+AO106+AO109+AO110+AO112+AO115+AO116+AO117+AO127++AO130+AO135+AO136+AO138+AO143+AO144+AO145+AO146+AO161+AO162+AO163+AO164+AO166+AO170+AO172+AO173+AO174+AO176+AO179+AO196+AO197+AO232</f>
        <v>9933817.3653120231</v>
      </c>
      <c r="AP267" s="213"/>
      <c r="AQ267" s="213">
        <f>AK267+AP267</f>
        <v>2959611.3328340263</v>
      </c>
      <c r="AR267" s="214"/>
      <c r="AS267" s="9"/>
      <c r="AX267" s="1" t="s">
        <v>407</v>
      </c>
    </row>
    <row r="268" spans="1:53" hidden="1">
      <c r="AA268" s="8" t="s">
        <v>401</v>
      </c>
      <c r="AB268" s="209">
        <f>AB187+AB239+AB240+AB241</f>
        <v>4788320.8572365297</v>
      </c>
      <c r="AE268" s="9" t="s">
        <v>402</v>
      </c>
      <c r="AK268" s="160">
        <f>AK30+AK147+AK239</f>
        <v>509141.72496213374</v>
      </c>
      <c r="AL268" s="160"/>
      <c r="AM268" s="160"/>
      <c r="AN268" s="160"/>
      <c r="AO268" s="160">
        <f>AO22+AO23+AO35+AO66+AO83+AO96+AO132+AO157+AO158+AO159+AO187+AO248+AO252+AO255</f>
        <v>2889073.113039609</v>
      </c>
      <c r="AP268" s="213"/>
      <c r="AQ268" s="213">
        <f t="shared" ref="AQ268:AQ269" si="62">AK268+AP268</f>
        <v>509141.72496213374</v>
      </c>
      <c r="AR268" s="214"/>
      <c r="AX268" s="1" t="s">
        <v>400</v>
      </c>
    </row>
    <row r="269" spans="1:53" hidden="1">
      <c r="AA269" s="8" t="s">
        <v>403</v>
      </c>
      <c r="AB269" s="209">
        <f>AB56+AB57+AB58+AB59+AB60+AB61+AB73+AB127+AB128+AB158+AB157+AB251</f>
        <v>1218969.1912707258</v>
      </c>
      <c r="AE269" s="9" t="s">
        <v>404</v>
      </c>
      <c r="AK269" s="160">
        <f>AK56+AK57+AK58+AK59+AK60+AK61+AK71+AK73+AK123+AK128+AK168+AK169+AK251</f>
        <v>821479.65842761879</v>
      </c>
      <c r="AL269" s="160"/>
      <c r="AM269" s="160"/>
      <c r="AN269" s="160"/>
      <c r="AO269" s="160">
        <f>AO30+AO147</f>
        <v>509141.72683834849</v>
      </c>
      <c r="AP269" s="215"/>
      <c r="AQ269" s="213">
        <f t="shared" si="62"/>
        <v>821479.65842761879</v>
      </c>
      <c r="AR269" s="214"/>
      <c r="AX269" s="1" t="s">
        <v>402</v>
      </c>
    </row>
    <row r="270" spans="1:53" hidden="1">
      <c r="AB270" s="209">
        <f>AB266+AB267+AB268+AB269</f>
        <v>28255947.848415062</v>
      </c>
      <c r="AK270" s="160">
        <f>AK266+AK267+AK268+AK269</f>
        <v>16164768.493462231</v>
      </c>
      <c r="AL270" s="160"/>
      <c r="AM270" s="160"/>
      <c r="AN270" s="160"/>
      <c r="AO270" s="160">
        <f>AO60+AO61+AO62+AO71+AO73+AO123+AO128+AO168+AO169+AO251</f>
        <v>821479.6594815026</v>
      </c>
      <c r="AP270" s="213"/>
      <c r="AQ270" s="213">
        <f>AQ267+AQ268+AQ269</f>
        <v>4290232.7162237791</v>
      </c>
      <c r="AR270" s="214"/>
      <c r="AX270" s="1" t="s">
        <v>408</v>
      </c>
    </row>
    <row r="271" spans="1:53" hidden="1">
      <c r="AK271" s="9">
        <f>AB265-AK270</f>
        <v>3768247.5665378533</v>
      </c>
      <c r="AP271" s="9"/>
    </row>
    <row r="272" spans="1:53" hidden="1">
      <c r="AK272" s="9">
        <f>AK265-AK270</f>
        <v>-3464224.9334621448</v>
      </c>
      <c r="AO272" s="9">
        <f>AO265-AO266</f>
        <v>-3429536.7146713976</v>
      </c>
    </row>
    <row r="273" spans="28:45">
      <c r="AB273" s="209"/>
      <c r="AF273" s="214"/>
      <c r="AG273" s="214"/>
      <c r="AH273" s="216"/>
      <c r="AI273" s="216"/>
      <c r="AJ273" s="217"/>
      <c r="AK273" s="214"/>
      <c r="AL273" s="214"/>
      <c r="AM273" s="214"/>
      <c r="AN273" s="214"/>
      <c r="AO273" s="214"/>
      <c r="AP273" s="218"/>
      <c r="AQ273" s="218"/>
      <c r="AR273" s="218"/>
      <c r="AS273" s="218"/>
    </row>
    <row r="274" spans="28:45">
      <c r="AB274" s="209"/>
      <c r="AF274" s="214"/>
      <c r="AG274" s="214"/>
      <c r="AH274" s="216"/>
      <c r="AI274" s="216"/>
      <c r="AJ274" s="217"/>
      <c r="AK274" s="214"/>
      <c r="AL274" s="214"/>
      <c r="AM274" s="214"/>
      <c r="AN274" s="214"/>
      <c r="AO274" s="214"/>
      <c r="AP274" s="219"/>
      <c r="AQ274" s="219"/>
      <c r="AR274" s="219"/>
      <c r="AS274" s="218"/>
    </row>
    <row r="275" spans="28:45">
      <c r="AB275" s="209"/>
      <c r="AF275" s="214"/>
      <c r="AG275" s="214"/>
      <c r="AH275" s="216"/>
      <c r="AI275" s="216"/>
      <c r="AJ275" s="217"/>
      <c r="AK275" s="214"/>
      <c r="AL275" s="214"/>
      <c r="AM275" s="214"/>
      <c r="AN275" s="214"/>
      <c r="AO275" s="214"/>
      <c r="AP275" s="219"/>
      <c r="AQ275" s="219"/>
      <c r="AR275" s="219"/>
      <c r="AS275" s="218"/>
    </row>
    <row r="276" spans="28:45">
      <c r="AB276" s="209"/>
      <c r="AF276" s="214"/>
      <c r="AG276" s="214"/>
      <c r="AH276" s="216"/>
      <c r="AI276" s="216"/>
      <c r="AJ276" s="217"/>
      <c r="AK276" s="214"/>
      <c r="AL276" s="214"/>
      <c r="AM276" s="214"/>
      <c r="AN276" s="214"/>
      <c r="AO276" s="214"/>
      <c r="AP276" s="219"/>
      <c r="AQ276" s="219"/>
      <c r="AR276" s="219"/>
      <c r="AS276" s="218"/>
    </row>
    <row r="277" spans="28:45">
      <c r="AB277" s="209"/>
      <c r="AF277" s="214"/>
      <c r="AG277" s="214"/>
      <c r="AH277" s="216"/>
      <c r="AI277" s="216"/>
      <c r="AJ277" s="217"/>
      <c r="AK277" s="214"/>
      <c r="AL277" s="214"/>
      <c r="AM277" s="214"/>
      <c r="AN277" s="214"/>
      <c r="AO277" s="214"/>
      <c r="AP277" s="219"/>
      <c r="AQ277" s="219"/>
      <c r="AR277" s="219"/>
      <c r="AS277" s="218"/>
    </row>
    <row r="278" spans="28:45">
      <c r="AF278" s="214"/>
      <c r="AG278" s="214"/>
      <c r="AH278" s="216"/>
      <c r="AI278" s="216"/>
      <c r="AJ278" s="217"/>
      <c r="AK278" s="214"/>
      <c r="AL278" s="214"/>
      <c r="AM278" s="214"/>
      <c r="AN278" s="214"/>
      <c r="AO278" s="214"/>
      <c r="AP278" s="214"/>
      <c r="AQ278" s="218"/>
      <c r="AR278" s="218"/>
      <c r="AS278" s="218"/>
    </row>
    <row r="279" spans="28:45">
      <c r="AF279" s="214"/>
      <c r="AG279" s="214"/>
      <c r="AH279" s="216"/>
      <c r="AI279" s="216"/>
      <c r="AJ279" s="217"/>
      <c r="AK279" s="214"/>
      <c r="AL279" s="214"/>
      <c r="AM279" s="214"/>
      <c r="AN279" s="214"/>
      <c r="AO279" s="214"/>
      <c r="AP279" s="218"/>
      <c r="AQ279" s="218"/>
      <c r="AR279" s="218"/>
      <c r="AS279" s="218"/>
    </row>
  </sheetData>
  <mergeCells count="24">
    <mergeCell ref="AD4:AD5"/>
    <mergeCell ref="AP4:AP5"/>
    <mergeCell ref="AX4:AX5"/>
    <mergeCell ref="D4:D5"/>
    <mergeCell ref="E4:E5"/>
    <mergeCell ref="F4:F5"/>
    <mergeCell ref="Y4:Y5"/>
    <mergeCell ref="AC4:AC5"/>
    <mergeCell ref="G4:G5"/>
    <mergeCell ref="H4:H5"/>
    <mergeCell ref="J4:J5"/>
    <mergeCell ref="A1:AX1"/>
    <mergeCell ref="A2:AX2"/>
    <mergeCell ref="S4:S5"/>
    <mergeCell ref="AO4:AO5"/>
    <mergeCell ref="O4:O5"/>
    <mergeCell ref="Q4:Q5"/>
    <mergeCell ref="R4:R5"/>
    <mergeCell ref="V4:V5"/>
    <mergeCell ref="W4:W5"/>
    <mergeCell ref="X4:X5"/>
    <mergeCell ref="A4:A5"/>
    <mergeCell ref="B4:B5"/>
    <mergeCell ref="C4:C5"/>
  </mergeCells>
  <dataValidations count="1">
    <dataValidation type="list" allowBlank="1" showInputMessage="1" showErrorMessage="1" sqref="F14:G18 E147 E96 E71 E66 E44 E35 E30 E22:E23 E28 E19 E9:E15 F8:G12 D8:D12 D14:D18">
      <formula1>Организации</formula1>
    </dataValidation>
  </dataValidations>
  <pageMargins left="0.51181102362204722" right="0.11811023622047245" top="0.74803149606299213" bottom="0.35433070866141736" header="0.31496062992125984" footer="0.31496062992125984"/>
  <pageSetup paperSize="9"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Ю. Созинова</dc:creator>
  <cp:lastModifiedBy>Надежда Ю. Созинова</cp:lastModifiedBy>
  <cp:lastPrinted>2019-05-29T13:44:30Z</cp:lastPrinted>
  <dcterms:created xsi:type="dcterms:W3CDTF">2019-05-29T12:10:01Z</dcterms:created>
  <dcterms:modified xsi:type="dcterms:W3CDTF">2019-05-29T13:51:41Z</dcterms:modified>
</cp:coreProperties>
</file>