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9440" windowHeight="12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рганизации">[1]Рабочая!$A$1:$A$2</definedName>
  </definedName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1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9" i="1"/>
  <c r="Y319" i="1"/>
  <c r="P99" i="1"/>
  <c r="Q99" i="1"/>
  <c r="R99" i="1" s="1"/>
  <c r="X99" i="1" s="1"/>
  <c r="W99" i="1" l="1"/>
  <c r="Y99" i="1" s="1"/>
  <c r="S99" i="1"/>
  <c r="AR261" i="1"/>
  <c r="AU261" i="1" s="1"/>
  <c r="BA261" i="1"/>
  <c r="BH261" i="1" s="1"/>
  <c r="BX261" i="1"/>
  <c r="BI325" i="1"/>
  <c r="BI320" i="1"/>
  <c r="BI318" i="1"/>
  <c r="BI296" i="1"/>
  <c r="BI269" i="1"/>
  <c r="BI267" i="1"/>
  <c r="BI265" i="1"/>
  <c r="BI264" i="1"/>
  <c r="BI260" i="1"/>
  <c r="BI251" i="1"/>
  <c r="BI248" i="1"/>
  <c r="BI247" i="1"/>
  <c r="BI245" i="1"/>
  <c r="BI220" i="1"/>
  <c r="BI219" i="1"/>
  <c r="BI218" i="1"/>
  <c r="BI210" i="1"/>
  <c r="BI208" i="1"/>
  <c r="BI203" i="1"/>
  <c r="BI202" i="1"/>
  <c r="BI183" i="1"/>
  <c r="BI177" i="1"/>
  <c r="BI173" i="1"/>
  <c r="BI170" i="1"/>
  <c r="BI168" i="1"/>
  <c r="BI156" i="1"/>
  <c r="BI153" i="1"/>
  <c r="BI150" i="1"/>
  <c r="BI139" i="1"/>
  <c r="BI135" i="1"/>
  <c r="BI133" i="1"/>
  <c r="BI128" i="1"/>
  <c r="BI113" i="1"/>
  <c r="BI103" i="1"/>
  <c r="BI100" i="1"/>
  <c r="BI99" i="1"/>
  <c r="BI87" i="1"/>
  <c r="BI86" i="1"/>
  <c r="BI85" i="1"/>
  <c r="BI82" i="1"/>
  <c r="BI78" i="1"/>
  <c r="BI76" i="1"/>
  <c r="BI70" i="1"/>
  <c r="BI59" i="1"/>
  <c r="BI58" i="1"/>
  <c r="BI40" i="1"/>
  <c r="BI37" i="1"/>
  <c r="BI32" i="1"/>
  <c r="BI25" i="1"/>
  <c r="BI24" i="1"/>
  <c r="BI20" i="1"/>
  <c r="BI18" i="1"/>
  <c r="BI54" i="1" l="1"/>
  <c r="BI50" i="1"/>
  <c r="BI49" i="1"/>
  <c r="BA180" i="1"/>
  <c r="BK328" i="1"/>
  <c r="BM328" i="1"/>
  <c r="BO328" i="1"/>
  <c r="BS328" i="1"/>
  <c r="BU328" i="1"/>
  <c r="BW328" i="1"/>
  <c r="BZ328" i="1"/>
  <c r="CA328" i="1"/>
  <c r="CB328" i="1"/>
  <c r="CC328" i="1"/>
  <c r="CE328" i="1"/>
  <c r="CF328" i="1"/>
  <c r="CH328" i="1"/>
  <c r="CI328" i="1"/>
  <c r="AG332" i="1"/>
  <c r="AR330" i="1"/>
  <c r="AQ330" i="1"/>
  <c r="AQ331" i="1" s="1"/>
  <c r="BF328" i="1"/>
  <c r="BE328" i="1"/>
  <c r="BC328" i="1"/>
  <c r="BB328" i="1"/>
  <c r="AZ328" i="1"/>
  <c r="AX328" i="1"/>
  <c r="AW328" i="1"/>
  <c r="AV328" i="1"/>
  <c r="AS328" i="1"/>
  <c r="AQ328" i="1"/>
  <c r="AO328" i="1"/>
  <c r="AM328" i="1"/>
  <c r="AK328" i="1"/>
  <c r="AJ328" i="1"/>
  <c r="AH328" i="1"/>
  <c r="AG328" i="1"/>
  <c r="AF328" i="1"/>
  <c r="AD328" i="1"/>
  <c r="BA327" i="1"/>
  <c r="BH327" i="1" s="1"/>
  <c r="V327" i="1"/>
  <c r="U327" i="1"/>
  <c r="U328" i="1" s="1"/>
  <c r="Q327" i="1"/>
  <c r="Y327" i="1" s="1"/>
  <c r="P327" i="1"/>
  <c r="BA326" i="1"/>
  <c r="BH326" i="1" s="1"/>
  <c r="Q326" i="1"/>
  <c r="Y326" i="1" s="1"/>
  <c r="P326" i="1"/>
  <c r="AY325" i="1"/>
  <c r="BA325" i="1" s="1"/>
  <c r="BH325" i="1" s="1"/>
  <c r="Q325" i="1"/>
  <c r="W325" i="1" s="1"/>
  <c r="Y325" i="1" s="1"/>
  <c r="P325" i="1"/>
  <c r="AY324" i="1"/>
  <c r="BA324" i="1" s="1"/>
  <c r="BH324" i="1" s="1"/>
  <c r="Q324" i="1"/>
  <c r="W324" i="1" s="1"/>
  <c r="Y324" i="1" s="1"/>
  <c r="P324" i="1"/>
  <c r="BA323" i="1"/>
  <c r="BH323" i="1" s="1"/>
  <c r="Q323" i="1"/>
  <c r="W323" i="1" s="1"/>
  <c r="Y323" i="1" s="1"/>
  <c r="P323" i="1"/>
  <c r="BA322" i="1"/>
  <c r="BH322" i="1" s="1"/>
  <c r="Q322" i="1"/>
  <c r="W322" i="1" s="1"/>
  <c r="Y322" i="1" s="1"/>
  <c r="P322" i="1"/>
  <c r="BA321" i="1"/>
  <c r="BH321" i="1" s="1"/>
  <c r="V321" i="1"/>
  <c r="Q321" i="1"/>
  <c r="P321" i="1"/>
  <c r="BA320" i="1"/>
  <c r="BH320" i="1" s="1"/>
  <c r="AR320" i="1"/>
  <c r="BX320" i="1" s="1"/>
  <c r="CK319" i="1"/>
  <c r="BI319" i="1" s="1"/>
  <c r="BA319" i="1"/>
  <c r="BH319" i="1" s="1"/>
  <c r="AR319" i="1"/>
  <c r="BA318" i="1"/>
  <c r="BH318" i="1" s="1"/>
  <c r="Q318" i="1"/>
  <c r="W318" i="1" s="1"/>
  <c r="Y318" i="1" s="1"/>
  <c r="P318" i="1"/>
  <c r="CK317" i="1"/>
  <c r="BI317" i="1" s="1"/>
  <c r="BY317" i="1"/>
  <c r="AY317" i="1"/>
  <c r="BA317" i="1" s="1"/>
  <c r="BH317" i="1" s="1"/>
  <c r="Q317" i="1"/>
  <c r="P317" i="1"/>
  <c r="BY316" i="1"/>
  <c r="BA316" i="1"/>
  <c r="BH316" i="1" s="1"/>
  <c r="Q316" i="1"/>
  <c r="P316" i="1"/>
  <c r="BA315" i="1"/>
  <c r="BH315" i="1" s="1"/>
  <c r="Q315" i="1"/>
  <c r="P315" i="1"/>
  <c r="BA314" i="1"/>
  <c r="BH314" i="1" s="1"/>
  <c r="Q314" i="1"/>
  <c r="P314" i="1"/>
  <c r="BY313" i="1"/>
  <c r="BA313" i="1"/>
  <c r="BH313" i="1" s="1"/>
  <c r="Q313" i="1"/>
  <c r="P313" i="1"/>
  <c r="BA312" i="1"/>
  <c r="BH312" i="1" s="1"/>
  <c r="AA312" i="1"/>
  <c r="Q312" i="1"/>
  <c r="P312" i="1"/>
  <c r="BA311" i="1"/>
  <c r="BH311" i="1" s="1"/>
  <c r="Q311" i="1"/>
  <c r="P311" i="1"/>
  <c r="BA310" i="1"/>
  <c r="BH310" i="1" s="1"/>
  <c r="Q310" i="1"/>
  <c r="P310" i="1"/>
  <c r="BQ309" i="1"/>
  <c r="BA309" i="1"/>
  <c r="BH309" i="1" s="1"/>
  <c r="AL309" i="1"/>
  <c r="BR309" i="1" s="1"/>
  <c r="Q309" i="1"/>
  <c r="P309" i="1"/>
  <c r="BQ308" i="1"/>
  <c r="BA308" i="1"/>
  <c r="BH308" i="1" s="1"/>
  <c r="AL308" i="1"/>
  <c r="Q308" i="1"/>
  <c r="W308" i="1" s="1"/>
  <c r="Y308" i="1" s="1"/>
  <c r="P308" i="1"/>
  <c r="BQ307" i="1"/>
  <c r="BA307" i="1"/>
  <c r="BH307" i="1" s="1"/>
  <c r="AL307" i="1"/>
  <c r="BR307" i="1" s="1"/>
  <c r="Q307" i="1"/>
  <c r="P307" i="1"/>
  <c r="BV306" i="1"/>
  <c r="BA306" i="1"/>
  <c r="BH306" i="1" s="1"/>
  <c r="AR306" i="1"/>
  <c r="Q306" i="1"/>
  <c r="W306" i="1" s="1"/>
  <c r="Y306" i="1" s="1"/>
  <c r="P306" i="1"/>
  <c r="BV305" i="1"/>
  <c r="BA305" i="1"/>
  <c r="BH305" i="1" s="1"/>
  <c r="AR305" i="1"/>
  <c r="AI305" i="1"/>
  <c r="BN305" i="1" s="1"/>
  <c r="BQ305" i="1" s="1"/>
  <c r="AC305" i="1"/>
  <c r="Q305" i="1"/>
  <c r="P305" i="1"/>
  <c r="BN304" i="1"/>
  <c r="BA304" i="1"/>
  <c r="BH304" i="1" s="1"/>
  <c r="Q304" i="1"/>
  <c r="P304" i="1"/>
  <c r="BA303" i="1"/>
  <c r="BH303" i="1" s="1"/>
  <c r="Q303" i="1"/>
  <c r="P303" i="1"/>
  <c r="BA302" i="1"/>
  <c r="BH302" i="1" s="1"/>
  <c r="Q302" i="1"/>
  <c r="P302" i="1"/>
  <c r="BA301" i="1"/>
  <c r="BH301" i="1" s="1"/>
  <c r="V301" i="1"/>
  <c r="V7" i="1" s="1"/>
  <c r="Q301" i="1"/>
  <c r="W301" i="1" s="1"/>
  <c r="Y301" i="1" s="1"/>
  <c r="P301" i="1"/>
  <c r="BA300" i="1"/>
  <c r="BH300" i="1" s="1"/>
  <c r="Q300" i="1"/>
  <c r="W300" i="1" s="1"/>
  <c r="Y300" i="1" s="1"/>
  <c r="P300" i="1"/>
  <c r="BA299" i="1"/>
  <c r="BH299" i="1" s="1"/>
  <c r="V299" i="1"/>
  <c r="Q299" i="1"/>
  <c r="W299" i="1" s="1"/>
  <c r="Y299" i="1" s="1"/>
  <c r="P299" i="1"/>
  <c r="BA298" i="1"/>
  <c r="BH298" i="1" s="1"/>
  <c r="AA298" i="1"/>
  <c r="Q298" i="1"/>
  <c r="W298" i="1" s="1"/>
  <c r="Y298" i="1" s="1"/>
  <c r="P298" i="1"/>
  <c r="BA297" i="1"/>
  <c r="BH297" i="1" s="1"/>
  <c r="Q297" i="1"/>
  <c r="P297" i="1"/>
  <c r="BA296" i="1"/>
  <c r="BH296" i="1" s="1"/>
  <c r="Q296" i="1"/>
  <c r="W296" i="1" s="1"/>
  <c r="Y296" i="1" s="1"/>
  <c r="P296" i="1"/>
  <c r="CK295" i="1"/>
  <c r="BI295" i="1" s="1"/>
  <c r="BA295" i="1"/>
  <c r="BH295" i="1" s="1"/>
  <c r="Q295" i="1"/>
  <c r="W295" i="1" s="1"/>
  <c r="Y295" i="1" s="1"/>
  <c r="P295" i="1"/>
  <c r="BA294" i="1"/>
  <c r="BH294" i="1" s="1"/>
  <c r="AA294" i="1"/>
  <c r="Q294" i="1"/>
  <c r="W294" i="1" s="1"/>
  <c r="Y294" i="1" s="1"/>
  <c r="P294" i="1"/>
  <c r="BA293" i="1"/>
  <c r="BH293" i="1" s="1"/>
  <c r="Q293" i="1"/>
  <c r="W293" i="1" s="1"/>
  <c r="Y293" i="1" s="1"/>
  <c r="P293" i="1"/>
  <c r="BA292" i="1"/>
  <c r="BH292" i="1" s="1"/>
  <c r="Q292" i="1"/>
  <c r="W292" i="1" s="1"/>
  <c r="Y292" i="1" s="1"/>
  <c r="P292" i="1"/>
  <c r="BA291" i="1"/>
  <c r="BH291" i="1" s="1"/>
  <c r="Q291" i="1"/>
  <c r="W291" i="1" s="1"/>
  <c r="Y291" i="1" s="1"/>
  <c r="P291" i="1"/>
  <c r="BA290" i="1"/>
  <c r="BH290" i="1" s="1"/>
  <c r="Q290" i="1"/>
  <c r="W290" i="1" s="1"/>
  <c r="Y290" i="1" s="1"/>
  <c r="P290" i="1"/>
  <c r="BA289" i="1"/>
  <c r="BH289" i="1" s="1"/>
  <c r="Q289" i="1"/>
  <c r="W289" i="1" s="1"/>
  <c r="Y289" i="1" s="1"/>
  <c r="P289" i="1"/>
  <c r="BA288" i="1"/>
  <c r="BH288" i="1" s="1"/>
  <c r="Q288" i="1"/>
  <c r="W288" i="1" s="1"/>
  <c r="Y288" i="1" s="1"/>
  <c r="P288" i="1"/>
  <c r="BA287" i="1"/>
  <c r="BH287" i="1" s="1"/>
  <c r="Q287" i="1"/>
  <c r="W287" i="1" s="1"/>
  <c r="Y287" i="1" s="1"/>
  <c r="P287" i="1"/>
  <c r="BA286" i="1"/>
  <c r="BH286" i="1" s="1"/>
  <c r="Q286" i="1"/>
  <c r="W286" i="1" s="1"/>
  <c r="Y286" i="1" s="1"/>
  <c r="P286" i="1"/>
  <c r="BA285" i="1"/>
  <c r="BH285" i="1" s="1"/>
  <c r="Q285" i="1"/>
  <c r="W285" i="1" s="1"/>
  <c r="Y285" i="1" s="1"/>
  <c r="P285" i="1"/>
  <c r="BA284" i="1"/>
  <c r="BH284" i="1" s="1"/>
  <c r="Q284" i="1"/>
  <c r="W284" i="1" s="1"/>
  <c r="Y284" i="1" s="1"/>
  <c r="P284" i="1"/>
  <c r="BA283" i="1"/>
  <c r="BH283" i="1" s="1"/>
  <c r="Q283" i="1"/>
  <c r="P283" i="1"/>
  <c r="BA282" i="1"/>
  <c r="BH282" i="1" s="1"/>
  <c r="Q282" i="1"/>
  <c r="W282" i="1" s="1"/>
  <c r="Y282" i="1" s="1"/>
  <c r="P282" i="1"/>
  <c r="BA281" i="1"/>
  <c r="BH281" i="1" s="1"/>
  <c r="AT281" i="1"/>
  <c r="Q281" i="1"/>
  <c r="W281" i="1" s="1"/>
  <c r="Y281" i="1" s="1"/>
  <c r="P281" i="1"/>
  <c r="BA280" i="1"/>
  <c r="BH280" i="1" s="1"/>
  <c r="AR280" i="1"/>
  <c r="BX280" i="1" s="1"/>
  <c r="Q280" i="1"/>
  <c r="BA279" i="1"/>
  <c r="BH279" i="1" s="1"/>
  <c r="Q279" i="1"/>
  <c r="W279" i="1" s="1"/>
  <c r="Y279" i="1" s="1"/>
  <c r="P279" i="1"/>
  <c r="BA278" i="1"/>
  <c r="BH278" i="1" s="1"/>
  <c r="Q278" i="1"/>
  <c r="P278" i="1"/>
  <c r="BA277" i="1"/>
  <c r="BH277" i="1" s="1"/>
  <c r="Q277" i="1"/>
  <c r="W277" i="1" s="1"/>
  <c r="Y277" i="1" s="1"/>
  <c r="P277" i="1"/>
  <c r="BA276" i="1"/>
  <c r="BH276" i="1" s="1"/>
  <c r="Q276" i="1"/>
  <c r="W276" i="1" s="1"/>
  <c r="Y276" i="1" s="1"/>
  <c r="P276" i="1"/>
  <c r="BA275" i="1"/>
  <c r="BH275" i="1" s="1"/>
  <c r="Q275" i="1"/>
  <c r="W275" i="1" s="1"/>
  <c r="Y275" i="1" s="1"/>
  <c r="P275" i="1"/>
  <c r="BA274" i="1"/>
  <c r="BH274" i="1" s="1"/>
  <c r="Q274" i="1"/>
  <c r="P274" i="1"/>
  <c r="BA273" i="1"/>
  <c r="BH273" i="1" s="1"/>
  <c r="Q273" i="1"/>
  <c r="W273" i="1" s="1"/>
  <c r="Y273" i="1" s="1"/>
  <c r="P273" i="1"/>
  <c r="CK272" i="1"/>
  <c r="BI272" i="1" s="1"/>
  <c r="BA272" i="1"/>
  <c r="BH272" i="1" s="1"/>
  <c r="Q272" i="1"/>
  <c r="W272" i="1" s="1"/>
  <c r="Y272" i="1" s="1"/>
  <c r="P272" i="1"/>
  <c r="BA271" i="1"/>
  <c r="BH271" i="1" s="1"/>
  <c r="AA271" i="1"/>
  <c r="Q271" i="1"/>
  <c r="W271" i="1" s="1"/>
  <c r="Y271" i="1" s="1"/>
  <c r="P271" i="1"/>
  <c r="BA269" i="1"/>
  <c r="BH269" i="1" s="1"/>
  <c r="AR269" i="1"/>
  <c r="BX269" i="1" s="1"/>
  <c r="BA268" i="1"/>
  <c r="BH268" i="1" s="1"/>
  <c r="Q268" i="1"/>
  <c r="W268" i="1" s="1"/>
  <c r="Y268" i="1" s="1"/>
  <c r="P268" i="1"/>
  <c r="BA267" i="1"/>
  <c r="BH267" i="1" s="1"/>
  <c r="AR267" i="1"/>
  <c r="BX267" i="1" s="1"/>
  <c r="BA266" i="1"/>
  <c r="BH266" i="1" s="1"/>
  <c r="Q266" i="1"/>
  <c r="W266" i="1" s="1"/>
  <c r="Y266" i="1" s="1"/>
  <c r="P266" i="1"/>
  <c r="BA265" i="1"/>
  <c r="BH265" i="1" s="1"/>
  <c r="AT265" i="1"/>
  <c r="Q265" i="1"/>
  <c r="W265" i="1" s="1"/>
  <c r="Y265" i="1" s="1"/>
  <c r="P265" i="1"/>
  <c r="BA264" i="1"/>
  <c r="BH264" i="1" s="1"/>
  <c r="Q264" i="1"/>
  <c r="W264" i="1" s="1"/>
  <c r="Y264" i="1" s="1"/>
  <c r="P264" i="1"/>
  <c r="CK263" i="1"/>
  <c r="BA263" i="1"/>
  <c r="BH263" i="1" s="1"/>
  <c r="Q263" i="1"/>
  <c r="W263" i="1" s="1"/>
  <c r="Y263" i="1" s="1"/>
  <c r="P263" i="1"/>
  <c r="BA262" i="1"/>
  <c r="BH262" i="1" s="1"/>
  <c r="AA262" i="1"/>
  <c r="Q262" i="1"/>
  <c r="P262" i="1"/>
  <c r="BA260" i="1"/>
  <c r="BH260" i="1" s="1"/>
  <c r="Q260" i="1"/>
  <c r="W260" i="1" s="1"/>
  <c r="Y260" i="1" s="1"/>
  <c r="P260" i="1"/>
  <c r="CK259" i="1"/>
  <c r="BA259" i="1"/>
  <c r="BH259" i="1" s="1"/>
  <c r="Q259" i="1"/>
  <c r="W259" i="1" s="1"/>
  <c r="Y259" i="1" s="1"/>
  <c r="P259" i="1"/>
  <c r="BA258" i="1"/>
  <c r="BH258" i="1" s="1"/>
  <c r="AA258" i="1"/>
  <c r="Q258" i="1"/>
  <c r="W258" i="1" s="1"/>
  <c r="Y258" i="1" s="1"/>
  <c r="P258" i="1"/>
  <c r="BA257" i="1"/>
  <c r="BH257" i="1" s="1"/>
  <c r="Q257" i="1"/>
  <c r="W257" i="1" s="1"/>
  <c r="Y257" i="1" s="1"/>
  <c r="P257" i="1"/>
  <c r="BA256" i="1"/>
  <c r="BH256" i="1" s="1"/>
  <c r="Q256" i="1"/>
  <c r="W256" i="1" s="1"/>
  <c r="Y256" i="1" s="1"/>
  <c r="P256" i="1"/>
  <c r="BA255" i="1"/>
  <c r="BH255" i="1" s="1"/>
  <c r="Q255" i="1"/>
  <c r="W255" i="1" s="1"/>
  <c r="Y255" i="1" s="1"/>
  <c r="P255" i="1"/>
  <c r="BA254" i="1"/>
  <c r="BH254" i="1" s="1"/>
  <c r="Q254" i="1"/>
  <c r="P254" i="1"/>
  <c r="BA253" i="1"/>
  <c r="BH253" i="1" s="1"/>
  <c r="Q253" i="1"/>
  <c r="W253" i="1" s="1"/>
  <c r="Y253" i="1" s="1"/>
  <c r="P253" i="1"/>
  <c r="BI252" i="1"/>
  <c r="BA252" i="1"/>
  <c r="BH252" i="1" s="1"/>
  <c r="AR252" i="1"/>
  <c r="BA251" i="1"/>
  <c r="BH251" i="1" s="1"/>
  <c r="Q251" i="1"/>
  <c r="W251" i="1" s="1"/>
  <c r="Y251" i="1" s="1"/>
  <c r="P251" i="1"/>
  <c r="BA250" i="1"/>
  <c r="BH250" i="1" s="1"/>
  <c r="AA250" i="1"/>
  <c r="Q250" i="1"/>
  <c r="W250" i="1" s="1"/>
  <c r="Y250" i="1" s="1"/>
  <c r="P250" i="1"/>
  <c r="BA249" i="1"/>
  <c r="BH249" i="1" s="1"/>
  <c r="AR249" i="1"/>
  <c r="BX249" i="1" s="1"/>
  <c r="BA248" i="1"/>
  <c r="BH248" i="1" s="1"/>
  <c r="AR248" i="1"/>
  <c r="BX248" i="1" s="1"/>
  <c r="BA247" i="1"/>
  <c r="BH247" i="1" s="1"/>
  <c r="AR247" i="1"/>
  <c r="BX247" i="1" s="1"/>
  <c r="BA246" i="1"/>
  <c r="BH246" i="1" s="1"/>
  <c r="Q246" i="1"/>
  <c r="W246" i="1" s="1"/>
  <c r="Y246" i="1" s="1"/>
  <c r="P246" i="1"/>
  <c r="BA245" i="1"/>
  <c r="BH245" i="1" s="1"/>
  <c r="AR245" i="1"/>
  <c r="BX245" i="1" s="1"/>
  <c r="BA244" i="1"/>
  <c r="BH244" i="1" s="1"/>
  <c r="Q244" i="1"/>
  <c r="W244" i="1" s="1"/>
  <c r="Y244" i="1" s="1"/>
  <c r="P244" i="1"/>
  <c r="BA243" i="1"/>
  <c r="BH243" i="1" s="1"/>
  <c r="AR243" i="1"/>
  <c r="BX243" i="1" s="1"/>
  <c r="BA242" i="1"/>
  <c r="BH242" i="1" s="1"/>
  <c r="Q242" i="1"/>
  <c r="W242" i="1" s="1"/>
  <c r="Y242" i="1" s="1"/>
  <c r="P242" i="1"/>
  <c r="BA241" i="1"/>
  <c r="BH241" i="1" s="1"/>
  <c r="AR241" i="1"/>
  <c r="BX241" i="1" s="1"/>
  <c r="BA240" i="1"/>
  <c r="BH240" i="1" s="1"/>
  <c r="AR240" i="1"/>
  <c r="BX240" i="1" s="1"/>
  <c r="Q240" i="1"/>
  <c r="W240" i="1" s="1"/>
  <c r="Y240" i="1" s="1"/>
  <c r="BA239" i="1"/>
  <c r="BH239" i="1" s="1"/>
  <c r="AR239" i="1"/>
  <c r="BX239" i="1" s="1"/>
  <c r="BA238" i="1"/>
  <c r="BH238" i="1" s="1"/>
  <c r="AT238" i="1"/>
  <c r="Q238" i="1"/>
  <c r="W238" i="1" s="1"/>
  <c r="Y238" i="1" s="1"/>
  <c r="P238" i="1"/>
  <c r="BA237" i="1"/>
  <c r="BH237" i="1" s="1"/>
  <c r="Q237" i="1"/>
  <c r="W237" i="1" s="1"/>
  <c r="Y237" i="1" s="1"/>
  <c r="P237" i="1"/>
  <c r="BA236" i="1"/>
  <c r="BH236" i="1" s="1"/>
  <c r="AA236" i="1"/>
  <c r="Q236" i="1"/>
  <c r="P236" i="1"/>
  <c r="BH235" i="1"/>
  <c r="AR235" i="1"/>
  <c r="Q235" i="1"/>
  <c r="BA234" i="1"/>
  <c r="BH234" i="1" s="1"/>
  <c r="Q234" i="1"/>
  <c r="P234" i="1"/>
  <c r="BA233" i="1"/>
  <c r="BH233" i="1" s="1"/>
  <c r="Q233" i="1"/>
  <c r="W233" i="1" s="1"/>
  <c r="Y233" i="1" s="1"/>
  <c r="P233" i="1"/>
  <c r="BA232" i="1"/>
  <c r="BH232" i="1" s="1"/>
  <c r="AR232" i="1"/>
  <c r="AU232" i="1" s="1"/>
  <c r="BA231" i="1"/>
  <c r="BH231" i="1" s="1"/>
  <c r="AR231" i="1"/>
  <c r="BA230" i="1"/>
  <c r="BH230" i="1" s="1"/>
  <c r="Q230" i="1"/>
  <c r="W230" i="1" s="1"/>
  <c r="Y230" i="1" s="1"/>
  <c r="P230" i="1"/>
  <c r="BA229" i="1"/>
  <c r="BH229" i="1" s="1"/>
  <c r="Q229" i="1"/>
  <c r="W229" i="1" s="1"/>
  <c r="Y229" i="1" s="1"/>
  <c r="P229" i="1"/>
  <c r="BA228" i="1"/>
  <c r="BH228" i="1" s="1"/>
  <c r="AB228" i="1"/>
  <c r="Q228" i="1"/>
  <c r="W228" i="1" s="1"/>
  <c r="Y228" i="1" s="1"/>
  <c r="P228" i="1"/>
  <c r="BT227" i="1"/>
  <c r="BA227" i="1"/>
  <c r="BH227" i="1" s="1"/>
  <c r="AT227" i="1"/>
  <c r="Q227" i="1"/>
  <c r="W227" i="1" s="1"/>
  <c r="Y227" i="1" s="1"/>
  <c r="P227" i="1"/>
  <c r="BA226" i="1"/>
  <c r="BH226" i="1" s="1"/>
  <c r="CG225" i="1"/>
  <c r="BD225" i="1"/>
  <c r="BA225" i="1"/>
  <c r="AR225" i="1"/>
  <c r="BX225" i="1" s="1"/>
  <c r="BA224" i="1"/>
  <c r="BH224" i="1" s="1"/>
  <c r="Q224" i="1"/>
  <c r="W224" i="1" s="1"/>
  <c r="Y224" i="1" s="1"/>
  <c r="P224" i="1"/>
  <c r="BA223" i="1"/>
  <c r="BH223" i="1" s="1"/>
  <c r="V223" i="1"/>
  <c r="Q223" i="1"/>
  <c r="W223" i="1" s="1"/>
  <c r="Y223" i="1" s="1"/>
  <c r="P223" i="1"/>
  <c r="BA222" i="1"/>
  <c r="BH222" i="1" s="1"/>
  <c r="Q222" i="1"/>
  <c r="W222" i="1" s="1"/>
  <c r="Y222" i="1" s="1"/>
  <c r="P222" i="1"/>
  <c r="BA221" i="1"/>
  <c r="BH221" i="1" s="1"/>
  <c r="Q221" i="1"/>
  <c r="W221" i="1" s="1"/>
  <c r="Y221" i="1" s="1"/>
  <c r="P221" i="1"/>
  <c r="BA220" i="1"/>
  <c r="BH220" i="1" s="1"/>
  <c r="AT220" i="1"/>
  <c r="Q220" i="1"/>
  <c r="W220" i="1" s="1"/>
  <c r="Y220" i="1" s="1"/>
  <c r="P220" i="1"/>
  <c r="BA219" i="1"/>
  <c r="BH219" i="1" s="1"/>
  <c r="AT219" i="1"/>
  <c r="Q219" i="1"/>
  <c r="W219" i="1" s="1"/>
  <c r="Y219" i="1" s="1"/>
  <c r="P219" i="1"/>
  <c r="BA218" i="1"/>
  <c r="BH218" i="1" s="1"/>
  <c r="Q218" i="1"/>
  <c r="W218" i="1" s="1"/>
  <c r="Y218" i="1" s="1"/>
  <c r="P218" i="1"/>
  <c r="BA217" i="1"/>
  <c r="BH217" i="1" s="1"/>
  <c r="Q217" i="1"/>
  <c r="W217" i="1" s="1"/>
  <c r="Y217" i="1" s="1"/>
  <c r="P217" i="1"/>
  <c r="BA216" i="1"/>
  <c r="BH216" i="1" s="1"/>
  <c r="Q216" i="1"/>
  <c r="P216" i="1"/>
  <c r="BA215" i="1"/>
  <c r="BH215" i="1" s="1"/>
  <c r="AT215" i="1"/>
  <c r="Q215" i="1"/>
  <c r="W215" i="1" s="1"/>
  <c r="Y215" i="1" s="1"/>
  <c r="P215" i="1"/>
  <c r="BA214" i="1"/>
  <c r="BH214" i="1" s="1"/>
  <c r="AT214" i="1"/>
  <c r="AI214" i="1"/>
  <c r="BN214" i="1" s="1"/>
  <c r="Q214" i="1"/>
  <c r="W214" i="1" s="1"/>
  <c r="Y214" i="1" s="1"/>
  <c r="P214" i="1"/>
  <c r="BN213" i="1"/>
  <c r="BA213" i="1"/>
  <c r="BH213" i="1" s="1"/>
  <c r="Q213" i="1"/>
  <c r="P213" i="1"/>
  <c r="BA212" i="1"/>
  <c r="BH212" i="1" s="1"/>
  <c r="AT212" i="1"/>
  <c r="Q212" i="1"/>
  <c r="W212" i="1" s="1"/>
  <c r="Y212" i="1" s="1"/>
  <c r="P212" i="1"/>
  <c r="BA211" i="1"/>
  <c r="BH211" i="1" s="1"/>
  <c r="Q211" i="1"/>
  <c r="W211" i="1" s="1"/>
  <c r="Y211" i="1" s="1"/>
  <c r="P211" i="1"/>
  <c r="BA210" i="1"/>
  <c r="BH210" i="1" s="1"/>
  <c r="AT210" i="1"/>
  <c r="Q210" i="1"/>
  <c r="P210" i="1"/>
  <c r="BA209" i="1"/>
  <c r="BH209" i="1" s="1"/>
  <c r="Q209" i="1"/>
  <c r="W209" i="1" s="1"/>
  <c r="Y209" i="1" s="1"/>
  <c r="P209" i="1"/>
  <c r="BA208" i="1"/>
  <c r="BH208" i="1" s="1"/>
  <c r="AR208" i="1"/>
  <c r="BX208" i="1" s="1"/>
  <c r="BA207" i="1"/>
  <c r="BH207" i="1" s="1"/>
  <c r="Q207" i="1"/>
  <c r="W207" i="1" s="1"/>
  <c r="Y207" i="1" s="1"/>
  <c r="P207" i="1"/>
  <c r="BA206" i="1"/>
  <c r="BH206" i="1" s="1"/>
  <c r="Q206" i="1"/>
  <c r="W206" i="1" s="1"/>
  <c r="Y206" i="1" s="1"/>
  <c r="P206" i="1"/>
  <c r="BA205" i="1"/>
  <c r="BH205" i="1" s="1"/>
  <c r="AR205" i="1"/>
  <c r="BX205" i="1" s="1"/>
  <c r="BA204" i="1"/>
  <c r="BH204" i="1" s="1"/>
  <c r="Q204" i="1"/>
  <c r="W204" i="1" s="1"/>
  <c r="Y204" i="1" s="1"/>
  <c r="P204" i="1"/>
  <c r="BA202" i="1"/>
  <c r="BH202" i="1" s="1"/>
  <c r="AR202" i="1"/>
  <c r="BX202" i="1" s="1"/>
  <c r="Q202" i="1"/>
  <c r="W202" i="1" s="1"/>
  <c r="Y202" i="1" s="1"/>
  <c r="BY201" i="1"/>
  <c r="BA201" i="1"/>
  <c r="BH201" i="1" s="1"/>
  <c r="Q201" i="1"/>
  <c r="W201" i="1" s="1"/>
  <c r="Y201" i="1" s="1"/>
  <c r="P201" i="1"/>
  <c r="BA200" i="1"/>
  <c r="BH200" i="1" s="1"/>
  <c r="AA200" i="1"/>
  <c r="Q200" i="1"/>
  <c r="W200" i="1" s="1"/>
  <c r="Y200" i="1" s="1"/>
  <c r="P200" i="1"/>
  <c r="BH199" i="1"/>
  <c r="BA198" i="1"/>
  <c r="BH198" i="1" s="1"/>
  <c r="AR198" i="1"/>
  <c r="BX198" i="1" s="1"/>
  <c r="BA197" i="1"/>
  <c r="BH197" i="1" s="1"/>
  <c r="Q197" i="1"/>
  <c r="W197" i="1" s="1"/>
  <c r="Y197" i="1" s="1"/>
  <c r="P197" i="1"/>
  <c r="BA196" i="1"/>
  <c r="BH196" i="1" s="1"/>
  <c r="AB196" i="1"/>
  <c r="Q196" i="1"/>
  <c r="W196" i="1" s="1"/>
  <c r="Y196" i="1" s="1"/>
  <c r="P196" i="1"/>
  <c r="BH195" i="1"/>
  <c r="BA194" i="1"/>
  <c r="BH194" i="1" s="1"/>
  <c r="AR194" i="1"/>
  <c r="BX194" i="1" s="1"/>
  <c r="BA193" i="1"/>
  <c r="BH193" i="1" s="1"/>
  <c r="AR193" i="1"/>
  <c r="BX193" i="1" s="1"/>
  <c r="BA192" i="1"/>
  <c r="BH192" i="1" s="1"/>
  <c r="Q192" i="1"/>
  <c r="W192" i="1" s="1"/>
  <c r="Y192" i="1" s="1"/>
  <c r="P192" i="1"/>
  <c r="BA191" i="1"/>
  <c r="BH191" i="1" s="1"/>
  <c r="AA191" i="1"/>
  <c r="Q191" i="1"/>
  <c r="W191" i="1" s="1"/>
  <c r="Y191" i="1" s="1"/>
  <c r="P191" i="1"/>
  <c r="CK190" i="1"/>
  <c r="BI190" i="1" s="1"/>
  <c r="BA190" i="1"/>
  <c r="BH190" i="1" s="1"/>
  <c r="AR190" i="1"/>
  <c r="BX190" i="1" s="1"/>
  <c r="BA189" i="1"/>
  <c r="BH189" i="1" s="1"/>
  <c r="Q189" i="1"/>
  <c r="W189" i="1" s="1"/>
  <c r="Y189" i="1" s="1"/>
  <c r="P189" i="1"/>
  <c r="BA188" i="1"/>
  <c r="BH188" i="1" s="1"/>
  <c r="BA187" i="1"/>
  <c r="BH187" i="1" s="1"/>
  <c r="AR187" i="1"/>
  <c r="BX187" i="1" s="1"/>
  <c r="BA186" i="1"/>
  <c r="BH186" i="1" s="1"/>
  <c r="Q186" i="1"/>
  <c r="W186" i="1" s="1"/>
  <c r="Y186" i="1" s="1"/>
  <c r="P186" i="1"/>
  <c r="BA185" i="1"/>
  <c r="BH185" i="1" s="1"/>
  <c r="Q185" i="1"/>
  <c r="W185" i="1" s="1"/>
  <c r="Y185" i="1" s="1"/>
  <c r="P185" i="1"/>
  <c r="BA184" i="1"/>
  <c r="BH184" i="1" s="1"/>
  <c r="AR184" i="1"/>
  <c r="BX184" i="1" s="1"/>
  <c r="BA183" i="1"/>
  <c r="BH183" i="1" s="1"/>
  <c r="Q183" i="1"/>
  <c r="W183" i="1" s="1"/>
  <c r="Y183" i="1" s="1"/>
  <c r="P183" i="1"/>
  <c r="CK182" i="1"/>
  <c r="BI182" i="1" s="1"/>
  <c r="BA182" i="1"/>
  <c r="BH182" i="1" s="1"/>
  <c r="Q182" i="1"/>
  <c r="W182" i="1" s="1"/>
  <c r="Y182" i="1" s="1"/>
  <c r="P182" i="1"/>
  <c r="BA181" i="1"/>
  <c r="BH181" i="1" s="1"/>
  <c r="AA181" i="1"/>
  <c r="Q181" i="1"/>
  <c r="W181" i="1" s="1"/>
  <c r="Y181" i="1" s="1"/>
  <c r="P181" i="1"/>
  <c r="BY180" i="1"/>
  <c r="BH180" i="1"/>
  <c r="Q180" i="1"/>
  <c r="W180" i="1" s="1"/>
  <c r="Y180" i="1" s="1"/>
  <c r="P180" i="1"/>
  <c r="BA179" i="1"/>
  <c r="BH179" i="1" s="1"/>
  <c r="Q179" i="1"/>
  <c r="W179" i="1" s="1"/>
  <c r="Y179" i="1" s="1"/>
  <c r="P179" i="1"/>
  <c r="BA178" i="1"/>
  <c r="BH178" i="1" s="1"/>
  <c r="Q178" i="1"/>
  <c r="P178" i="1"/>
  <c r="BA177" i="1"/>
  <c r="BH177" i="1" s="1"/>
  <c r="AT177" i="1"/>
  <c r="Q177" i="1"/>
  <c r="P177" i="1"/>
  <c r="BA176" i="1"/>
  <c r="BH176" i="1" s="1"/>
  <c r="AT176" i="1"/>
  <c r="Q176" i="1"/>
  <c r="P176" i="1"/>
  <c r="BA175" i="1"/>
  <c r="BH175" i="1" s="1"/>
  <c r="Q175" i="1"/>
  <c r="P175" i="1"/>
  <c r="BA174" i="1"/>
  <c r="BH174" i="1" s="1"/>
  <c r="I174" i="1"/>
  <c r="P174" i="1" s="1"/>
  <c r="BA173" i="1"/>
  <c r="BH173" i="1" s="1"/>
  <c r="AR173" i="1"/>
  <c r="BX173" i="1" s="1"/>
  <c r="BA172" i="1"/>
  <c r="BH172" i="1" s="1"/>
  <c r="Q172" i="1"/>
  <c r="W172" i="1" s="1"/>
  <c r="Y172" i="1" s="1"/>
  <c r="P172" i="1"/>
  <c r="BA171" i="1"/>
  <c r="BH171" i="1" s="1"/>
  <c r="Q171" i="1"/>
  <c r="W171" i="1" s="1"/>
  <c r="Y171" i="1" s="1"/>
  <c r="P171" i="1"/>
  <c r="BA170" i="1"/>
  <c r="BH170" i="1" s="1"/>
  <c r="AT170" i="1"/>
  <c r="Q170" i="1"/>
  <c r="W170" i="1" s="1"/>
  <c r="Y170" i="1" s="1"/>
  <c r="P170" i="1"/>
  <c r="BA169" i="1"/>
  <c r="BH169" i="1" s="1"/>
  <c r="AR169" i="1"/>
  <c r="BA168" i="1"/>
  <c r="BH168" i="1" s="1"/>
  <c r="AR168" i="1"/>
  <c r="Q168" i="1"/>
  <c r="P168" i="1"/>
  <c r="BA167" i="1"/>
  <c r="BH167" i="1" s="1"/>
  <c r="Q167" i="1"/>
  <c r="W167" i="1" s="1"/>
  <c r="Y167" i="1" s="1"/>
  <c r="P167" i="1"/>
  <c r="BA166" i="1"/>
  <c r="BH166" i="1" s="1"/>
  <c r="Q166" i="1"/>
  <c r="W166" i="1" s="1"/>
  <c r="Y166" i="1" s="1"/>
  <c r="P166" i="1"/>
  <c r="BA165" i="1"/>
  <c r="BH165" i="1" s="1"/>
  <c r="Q165" i="1"/>
  <c r="W165" i="1" s="1"/>
  <c r="Y165" i="1" s="1"/>
  <c r="P165" i="1"/>
  <c r="BA164" i="1"/>
  <c r="BH164" i="1" s="1"/>
  <c r="AR164" i="1"/>
  <c r="AU164" i="1" s="1"/>
  <c r="Y164" i="1"/>
  <c r="Q164" i="1"/>
  <c r="BA163" i="1"/>
  <c r="BH163" i="1" s="1"/>
  <c r="AR163" i="1"/>
  <c r="BA162" i="1"/>
  <c r="BH162" i="1" s="1"/>
  <c r="AR162" i="1"/>
  <c r="AU162" i="1" s="1"/>
  <c r="BA161" i="1"/>
  <c r="BH161" i="1" s="1"/>
  <c r="Q161" i="1"/>
  <c r="W161" i="1" s="1"/>
  <c r="Y161" i="1" s="1"/>
  <c r="P161" i="1"/>
  <c r="BA160" i="1"/>
  <c r="BH160" i="1" s="1"/>
  <c r="AA160" i="1"/>
  <c r="Q160" i="1"/>
  <c r="W160" i="1" s="1"/>
  <c r="Y160" i="1" s="1"/>
  <c r="P160" i="1"/>
  <c r="BA159" i="1"/>
  <c r="BH159" i="1" s="1"/>
  <c r="AR159" i="1"/>
  <c r="BX159" i="1" s="1"/>
  <c r="Q159" i="1"/>
  <c r="W159" i="1" s="1"/>
  <c r="Y159" i="1" s="1"/>
  <c r="BA158" i="1"/>
  <c r="BH158" i="1" s="1"/>
  <c r="Q158" i="1"/>
  <c r="W158" i="1" s="1"/>
  <c r="Y158" i="1" s="1"/>
  <c r="P158" i="1"/>
  <c r="BA157" i="1"/>
  <c r="BH157" i="1" s="1"/>
  <c r="AA157" i="1"/>
  <c r="Q157" i="1"/>
  <c r="P157" i="1"/>
  <c r="BA156" i="1"/>
  <c r="BH156" i="1" s="1"/>
  <c r="AT156" i="1"/>
  <c r="Q156" i="1"/>
  <c r="W156" i="1" s="1"/>
  <c r="Y156" i="1" s="1"/>
  <c r="P156" i="1"/>
  <c r="CG155" i="1"/>
  <c r="CG328" i="1" s="1"/>
  <c r="BD155" i="1"/>
  <c r="BD328" i="1" s="1"/>
  <c r="BA155" i="1"/>
  <c r="AR155" i="1"/>
  <c r="BX155" i="1" s="1"/>
  <c r="BA154" i="1"/>
  <c r="BH154" i="1" s="1"/>
  <c r="Q154" i="1"/>
  <c r="W154" i="1" s="1"/>
  <c r="Y154" i="1" s="1"/>
  <c r="P154" i="1"/>
  <c r="BA153" i="1"/>
  <c r="BH153" i="1" s="1"/>
  <c r="AT153" i="1"/>
  <c r="Q153" i="1"/>
  <c r="W153" i="1" s="1"/>
  <c r="Y153" i="1" s="1"/>
  <c r="P153" i="1"/>
  <c r="BA152" i="1"/>
  <c r="BH152" i="1" s="1"/>
  <c r="AR152" i="1"/>
  <c r="BX152" i="1" s="1"/>
  <c r="BA151" i="1"/>
  <c r="BH151" i="1" s="1"/>
  <c r="AR151" i="1"/>
  <c r="BX151" i="1" s="1"/>
  <c r="BA150" i="1"/>
  <c r="BH150" i="1" s="1"/>
  <c r="AT150" i="1"/>
  <c r="AI150" i="1"/>
  <c r="AI7" i="1" s="1"/>
  <c r="Q150" i="1"/>
  <c r="W150" i="1" s="1"/>
  <c r="Y150" i="1" s="1"/>
  <c r="P150" i="1"/>
  <c r="BN149" i="1"/>
  <c r="BA149" i="1"/>
  <c r="BH149" i="1" s="1"/>
  <c r="Q149" i="1"/>
  <c r="W149" i="1" s="1"/>
  <c r="Y149" i="1" s="1"/>
  <c r="P149" i="1"/>
  <c r="BA148" i="1"/>
  <c r="BH148" i="1" s="1"/>
  <c r="Q148" i="1"/>
  <c r="W148" i="1" s="1"/>
  <c r="Y148" i="1" s="1"/>
  <c r="P148" i="1"/>
  <c r="CK147" i="1"/>
  <c r="BI147" i="1" s="1"/>
  <c r="BA147" i="1"/>
  <c r="BH147" i="1" s="1"/>
  <c r="AA147" i="1"/>
  <c r="Q147" i="1"/>
  <c r="W147" i="1" s="1"/>
  <c r="Y147" i="1" s="1"/>
  <c r="P147" i="1"/>
  <c r="BA146" i="1"/>
  <c r="BH146" i="1" s="1"/>
  <c r="Q146" i="1"/>
  <c r="W146" i="1" s="1"/>
  <c r="Y146" i="1" s="1"/>
  <c r="P146" i="1"/>
  <c r="BA145" i="1"/>
  <c r="BH145" i="1" s="1"/>
  <c r="Q145" i="1"/>
  <c r="W145" i="1" s="1"/>
  <c r="Y145" i="1" s="1"/>
  <c r="P145" i="1"/>
  <c r="BA144" i="1"/>
  <c r="BH144" i="1" s="1"/>
  <c r="Q144" i="1"/>
  <c r="W144" i="1" s="1"/>
  <c r="Y144" i="1" s="1"/>
  <c r="P144" i="1"/>
  <c r="CK143" i="1"/>
  <c r="BI143" i="1" s="1"/>
  <c r="BA143" i="1"/>
  <c r="BH143" i="1" s="1"/>
  <c r="Q143" i="1"/>
  <c r="W143" i="1" s="1"/>
  <c r="Y143" i="1" s="1"/>
  <c r="P143" i="1"/>
  <c r="BA142" i="1"/>
  <c r="BH142" i="1" s="1"/>
  <c r="Q142" i="1"/>
  <c r="W142" i="1" s="1"/>
  <c r="Y142" i="1" s="1"/>
  <c r="P142" i="1"/>
  <c r="BA141" i="1"/>
  <c r="BH141" i="1" s="1"/>
  <c r="AA141" i="1"/>
  <c r="Q141" i="1"/>
  <c r="W141" i="1" s="1"/>
  <c r="Y141" i="1" s="1"/>
  <c r="P141" i="1"/>
  <c r="BA140" i="1"/>
  <c r="BH140" i="1" s="1"/>
  <c r="AT140" i="1"/>
  <c r="Q140" i="1"/>
  <c r="W140" i="1" s="1"/>
  <c r="Y140" i="1" s="1"/>
  <c r="P140" i="1"/>
  <c r="BA139" i="1"/>
  <c r="BH139" i="1" s="1"/>
  <c r="Q139" i="1"/>
  <c r="P139" i="1"/>
  <c r="BY138" i="1"/>
  <c r="BA138" i="1"/>
  <c r="BH138" i="1" s="1"/>
  <c r="Q138" i="1"/>
  <c r="W138" i="1" s="1"/>
  <c r="Y138" i="1" s="1"/>
  <c r="P138" i="1"/>
  <c r="BA137" i="1"/>
  <c r="BH137" i="1" s="1"/>
  <c r="V137" i="1"/>
  <c r="Q137" i="1"/>
  <c r="R137" i="1" s="1"/>
  <c r="P137" i="1"/>
  <c r="BA136" i="1"/>
  <c r="BH136" i="1" s="1"/>
  <c r="Q136" i="1"/>
  <c r="W136" i="1" s="1"/>
  <c r="Y136" i="1" s="1"/>
  <c r="P136" i="1"/>
  <c r="BY135" i="1"/>
  <c r="BA135" i="1"/>
  <c r="BH135" i="1" s="1"/>
  <c r="Q135" i="1"/>
  <c r="P135" i="1"/>
  <c r="BA134" i="1"/>
  <c r="BH134" i="1" s="1"/>
  <c r="AA134" i="1"/>
  <c r="Q134" i="1"/>
  <c r="W134" i="1" s="1"/>
  <c r="Y134" i="1" s="1"/>
  <c r="P134" i="1"/>
  <c r="BA133" i="1"/>
  <c r="BH133" i="1" s="1"/>
  <c r="AT133" i="1"/>
  <c r="Q133" i="1"/>
  <c r="W133" i="1" s="1"/>
  <c r="Y133" i="1" s="1"/>
  <c r="P133" i="1"/>
  <c r="BA132" i="1"/>
  <c r="BH132" i="1" s="1"/>
  <c r="AT132" i="1"/>
  <c r="AP132" i="1"/>
  <c r="AR132" i="1" s="1"/>
  <c r="BX132" i="1" s="1"/>
  <c r="Q132" i="1"/>
  <c r="W132" i="1" s="1"/>
  <c r="Y132" i="1" s="1"/>
  <c r="P132" i="1"/>
  <c r="BA131" i="1"/>
  <c r="BH131" i="1" s="1"/>
  <c r="Q131" i="1"/>
  <c r="W131" i="1" s="1"/>
  <c r="Y131" i="1" s="1"/>
  <c r="P131" i="1"/>
  <c r="BA130" i="1"/>
  <c r="BH130" i="1" s="1"/>
  <c r="Q130" i="1"/>
  <c r="W130" i="1" s="1"/>
  <c r="Y130" i="1" s="1"/>
  <c r="P130" i="1"/>
  <c r="BA129" i="1"/>
  <c r="BH129" i="1" s="1"/>
  <c r="AT129" i="1"/>
  <c r="Q129" i="1"/>
  <c r="W129" i="1" s="1"/>
  <c r="Y129" i="1" s="1"/>
  <c r="P129" i="1"/>
  <c r="BH128" i="1"/>
  <c r="AR128" i="1"/>
  <c r="BX128" i="1" s="1"/>
  <c r="BH127" i="1"/>
  <c r="AR127" i="1"/>
  <c r="BX127" i="1" s="1"/>
  <c r="BH126" i="1"/>
  <c r="AR126" i="1"/>
  <c r="BX126" i="1" s="1"/>
  <c r="BA125" i="1"/>
  <c r="BH125" i="1" s="1"/>
  <c r="Q125" i="1"/>
  <c r="P125" i="1"/>
  <c r="BA124" i="1"/>
  <c r="BH124" i="1" s="1"/>
  <c r="Q124" i="1"/>
  <c r="W124" i="1" s="1"/>
  <c r="Y124" i="1" s="1"/>
  <c r="P124" i="1"/>
  <c r="BA123" i="1"/>
  <c r="BH123" i="1" s="1"/>
  <c r="Q123" i="1"/>
  <c r="W123" i="1" s="1"/>
  <c r="Y123" i="1" s="1"/>
  <c r="P123" i="1"/>
  <c r="BA122" i="1"/>
  <c r="BH122" i="1" s="1"/>
  <c r="Q122" i="1"/>
  <c r="W122" i="1" s="1"/>
  <c r="Y122" i="1" s="1"/>
  <c r="P122" i="1"/>
  <c r="BA121" i="1"/>
  <c r="BH121" i="1" s="1"/>
  <c r="V121" i="1"/>
  <c r="Q121" i="1"/>
  <c r="W121" i="1" s="1"/>
  <c r="Y121" i="1" s="1"/>
  <c r="P121" i="1"/>
  <c r="BH120" i="1"/>
  <c r="BH119" i="1"/>
  <c r="Q119" i="1"/>
  <c r="W119" i="1" s="1"/>
  <c r="Y119" i="1" s="1"/>
  <c r="P119" i="1"/>
  <c r="BA118" i="1"/>
  <c r="BH118" i="1" s="1"/>
  <c r="AB118" i="1"/>
  <c r="Q118" i="1"/>
  <c r="W118" i="1" s="1"/>
  <c r="Y118" i="1" s="1"/>
  <c r="P118" i="1"/>
  <c r="BA117" i="1"/>
  <c r="BH117" i="1" s="1"/>
  <c r="Q117" i="1"/>
  <c r="W117" i="1" s="1"/>
  <c r="Y117" i="1" s="1"/>
  <c r="P117" i="1"/>
  <c r="BA116" i="1"/>
  <c r="BH116" i="1" s="1"/>
  <c r="Q116" i="1"/>
  <c r="W116" i="1" s="1"/>
  <c r="Y116" i="1" s="1"/>
  <c r="P116" i="1"/>
  <c r="BA115" i="1"/>
  <c r="BH115" i="1" s="1"/>
  <c r="Q115" i="1"/>
  <c r="W115" i="1" s="1"/>
  <c r="Y115" i="1" s="1"/>
  <c r="P115" i="1"/>
  <c r="BA114" i="1"/>
  <c r="BH114" i="1" s="1"/>
  <c r="Q114" i="1"/>
  <c r="W114" i="1" s="1"/>
  <c r="Y114" i="1" s="1"/>
  <c r="P114" i="1"/>
  <c r="BA113" i="1"/>
  <c r="BH113" i="1" s="1"/>
  <c r="AR113" i="1"/>
  <c r="Q113" i="1"/>
  <c r="BA112" i="1"/>
  <c r="BH112" i="1" s="1"/>
  <c r="Q112" i="1"/>
  <c r="P112" i="1"/>
  <c r="BA111" i="1"/>
  <c r="BH111" i="1" s="1"/>
  <c r="Q111" i="1"/>
  <c r="W111" i="1" s="1"/>
  <c r="Y111" i="1" s="1"/>
  <c r="P111" i="1"/>
  <c r="BA110" i="1"/>
  <c r="BH110" i="1" s="1"/>
  <c r="Q110" i="1"/>
  <c r="W110" i="1" s="1"/>
  <c r="Y110" i="1" s="1"/>
  <c r="P110" i="1"/>
  <c r="BA109" i="1"/>
  <c r="BH109" i="1" s="1"/>
  <c r="AR109" i="1"/>
  <c r="AU109" i="1" s="1"/>
  <c r="BA108" i="1"/>
  <c r="BH108" i="1" s="1"/>
  <c r="Q108" i="1"/>
  <c r="W108" i="1" s="1"/>
  <c r="Y108" i="1" s="1"/>
  <c r="P108" i="1"/>
  <c r="BA107" i="1"/>
  <c r="BH107" i="1" s="1"/>
  <c r="AR107" i="1"/>
  <c r="BX107" i="1" s="1"/>
  <c r="BA106" i="1"/>
  <c r="BH106" i="1" s="1"/>
  <c r="Q106" i="1"/>
  <c r="W106" i="1" s="1"/>
  <c r="Y106" i="1" s="1"/>
  <c r="P106" i="1"/>
  <c r="BA105" i="1"/>
  <c r="BH105" i="1" s="1"/>
  <c r="Q105" i="1"/>
  <c r="W105" i="1" s="1"/>
  <c r="Y105" i="1" s="1"/>
  <c r="P105" i="1"/>
  <c r="BA104" i="1"/>
  <c r="BH104" i="1" s="1"/>
  <c r="Q104" i="1"/>
  <c r="W104" i="1" s="1"/>
  <c r="Y104" i="1" s="1"/>
  <c r="P104" i="1"/>
  <c r="BA103" i="1"/>
  <c r="BH103" i="1" s="1"/>
  <c r="AT103" i="1"/>
  <c r="Q103" i="1"/>
  <c r="W103" i="1" s="1"/>
  <c r="Y103" i="1" s="1"/>
  <c r="P103" i="1"/>
  <c r="BA102" i="1"/>
  <c r="BH102" i="1" s="1"/>
  <c r="Q102" i="1"/>
  <c r="W102" i="1" s="1"/>
  <c r="Y102" i="1" s="1"/>
  <c r="P102" i="1"/>
  <c r="BA101" i="1"/>
  <c r="BH101" i="1" s="1"/>
  <c r="Q101" i="1"/>
  <c r="W101" i="1" s="1"/>
  <c r="Y101" i="1" s="1"/>
  <c r="P101" i="1"/>
  <c r="BA100" i="1"/>
  <c r="BH100" i="1" s="1"/>
  <c r="AT100" i="1"/>
  <c r="Q100" i="1"/>
  <c r="W100" i="1" s="1"/>
  <c r="Y100" i="1" s="1"/>
  <c r="P100" i="1"/>
  <c r="BA99" i="1"/>
  <c r="BH99" i="1" s="1"/>
  <c r="AT99" i="1"/>
  <c r="AR99" i="1"/>
  <c r="BX99" i="1" s="1"/>
  <c r="BA98" i="1"/>
  <c r="BH98" i="1" s="1"/>
  <c r="AT98" i="1"/>
  <c r="AR98" i="1"/>
  <c r="BX98" i="1" s="1"/>
  <c r="Q98" i="1"/>
  <c r="W98" i="1" s="1"/>
  <c r="Y98" i="1" s="1"/>
  <c r="BA97" i="1"/>
  <c r="BH97" i="1" s="1"/>
  <c r="AT97" i="1"/>
  <c r="I97" i="1"/>
  <c r="BA96" i="1"/>
  <c r="BH96" i="1" s="1"/>
  <c r="AR96" i="1"/>
  <c r="BX96" i="1" s="1"/>
  <c r="Q96" i="1"/>
  <c r="W96" i="1" s="1"/>
  <c r="Y96" i="1" s="1"/>
  <c r="BA95" i="1"/>
  <c r="BH95" i="1" s="1"/>
  <c r="Q95" i="1"/>
  <c r="P95" i="1"/>
  <c r="BA94" i="1"/>
  <c r="BH94" i="1" s="1"/>
  <c r="Q94" i="1"/>
  <c r="W94" i="1" s="1"/>
  <c r="Y94" i="1" s="1"/>
  <c r="P94" i="1"/>
  <c r="BA93" i="1"/>
  <c r="BH93" i="1" s="1"/>
  <c r="Q93" i="1"/>
  <c r="W93" i="1" s="1"/>
  <c r="Y93" i="1" s="1"/>
  <c r="P93" i="1"/>
  <c r="BA92" i="1"/>
  <c r="BH92" i="1" s="1"/>
  <c r="AA92" i="1"/>
  <c r="Q92" i="1"/>
  <c r="P92" i="1"/>
  <c r="BA91" i="1"/>
  <c r="BH91" i="1" s="1"/>
  <c r="AR91" i="1"/>
  <c r="AU91" i="1" s="1"/>
  <c r="BA90" i="1"/>
  <c r="BH90" i="1" s="1"/>
  <c r="Q90" i="1"/>
  <c r="P90" i="1"/>
  <c r="CK89" i="1"/>
  <c r="BY89" i="1"/>
  <c r="BI89" i="1"/>
  <c r="BA89" i="1"/>
  <c r="BH89" i="1" s="1"/>
  <c r="AN89" i="1"/>
  <c r="AN328" i="1" s="1"/>
  <c r="Q89" i="1"/>
  <c r="P89" i="1"/>
  <c r="BT88" i="1"/>
  <c r="BA88" i="1"/>
  <c r="BH88" i="1" s="1"/>
  <c r="Q88" i="1"/>
  <c r="W88" i="1" s="1"/>
  <c r="Y88" i="1" s="1"/>
  <c r="P88" i="1"/>
  <c r="BA86" i="1"/>
  <c r="BH86" i="1" s="1"/>
  <c r="Q86" i="1"/>
  <c r="W86" i="1" s="1"/>
  <c r="Y86" i="1" s="1"/>
  <c r="P86" i="1"/>
  <c r="BA85" i="1"/>
  <c r="BH85" i="1" s="1"/>
  <c r="Q85" i="1"/>
  <c r="W85" i="1" s="1"/>
  <c r="Y85" i="1" s="1"/>
  <c r="P85" i="1"/>
  <c r="CK84" i="1"/>
  <c r="BA84" i="1"/>
  <c r="BH84" i="1" s="1"/>
  <c r="Q84" i="1"/>
  <c r="W84" i="1" s="1"/>
  <c r="Y84" i="1" s="1"/>
  <c r="P84" i="1"/>
  <c r="BA83" i="1"/>
  <c r="BH83" i="1" s="1"/>
  <c r="AA83" i="1"/>
  <c r="Q83" i="1"/>
  <c r="W83" i="1" s="1"/>
  <c r="Y83" i="1" s="1"/>
  <c r="P83" i="1"/>
  <c r="CD82" i="1"/>
  <c r="BY82" i="1"/>
  <c r="BA82" i="1"/>
  <c r="BH82" i="1" s="1"/>
  <c r="Q82" i="1"/>
  <c r="W82" i="1" s="1"/>
  <c r="Y82" i="1" s="1"/>
  <c r="P82" i="1"/>
  <c r="BA81" i="1"/>
  <c r="BH81" i="1" s="1"/>
  <c r="AA81" i="1"/>
  <c r="Q81" i="1"/>
  <c r="W81" i="1" s="1"/>
  <c r="Y81" i="1" s="1"/>
  <c r="P81" i="1"/>
  <c r="BA80" i="1"/>
  <c r="BH80" i="1" s="1"/>
  <c r="Q80" i="1"/>
  <c r="W80" i="1" s="1"/>
  <c r="Y80" i="1" s="1"/>
  <c r="P80" i="1"/>
  <c r="BA79" i="1"/>
  <c r="BH79" i="1" s="1"/>
  <c r="Q79" i="1"/>
  <c r="W79" i="1" s="1"/>
  <c r="Y79" i="1" s="1"/>
  <c r="P79" i="1"/>
  <c r="BA77" i="1"/>
  <c r="BH77" i="1" s="1"/>
  <c r="Q77" i="1"/>
  <c r="W77" i="1" s="1"/>
  <c r="Y77" i="1" s="1"/>
  <c r="P77" i="1"/>
  <c r="CJ76" i="1"/>
  <c r="CJ328" i="1" s="1"/>
  <c r="BG76" i="1"/>
  <c r="BG328" i="1" s="1"/>
  <c r="BA75" i="1"/>
  <c r="BH75" i="1" s="1"/>
  <c r="Q75" i="1"/>
  <c r="W75" i="1" s="1"/>
  <c r="Y75" i="1" s="1"/>
  <c r="P75" i="1"/>
  <c r="BA74" i="1"/>
  <c r="BH74" i="1" s="1"/>
  <c r="Q74" i="1"/>
  <c r="W74" i="1" s="1"/>
  <c r="Y74" i="1" s="1"/>
  <c r="P74" i="1"/>
  <c r="BA73" i="1"/>
  <c r="BH73" i="1" s="1"/>
  <c r="AR73" i="1"/>
  <c r="AU73" i="1" s="1"/>
  <c r="BA72" i="1"/>
  <c r="BH72" i="1" s="1"/>
  <c r="Q72" i="1"/>
  <c r="R72" i="1" s="1"/>
  <c r="X72" i="1" s="1"/>
  <c r="Z72" i="1" s="1"/>
  <c r="AC72" i="1" s="1"/>
  <c r="P72" i="1"/>
  <c r="CK71" i="1"/>
  <c r="BA71" i="1"/>
  <c r="BH71" i="1" s="1"/>
  <c r="AT71" i="1"/>
  <c r="Q71" i="1"/>
  <c r="W71" i="1" s="1"/>
  <c r="Y71" i="1" s="1"/>
  <c r="P71" i="1"/>
  <c r="BA70" i="1"/>
  <c r="BH70" i="1" s="1"/>
  <c r="Q70" i="1"/>
  <c r="R70" i="1" s="1"/>
  <c r="X70" i="1" s="1"/>
  <c r="Z70" i="1" s="1"/>
  <c r="AC70" i="1" s="1"/>
  <c r="P70" i="1"/>
  <c r="BA69" i="1"/>
  <c r="BH69" i="1" s="1"/>
  <c r="Q69" i="1"/>
  <c r="W69" i="1" s="1"/>
  <c r="Y69" i="1" s="1"/>
  <c r="P69" i="1"/>
  <c r="BP68" i="1"/>
  <c r="BA68" i="1"/>
  <c r="BH68" i="1" s="1"/>
  <c r="Q68" i="1"/>
  <c r="W68" i="1" s="1"/>
  <c r="Y68" i="1" s="1"/>
  <c r="P68" i="1"/>
  <c r="BP67" i="1"/>
  <c r="BA67" i="1"/>
  <c r="BH67" i="1" s="1"/>
  <c r="Q67" i="1"/>
  <c r="R67" i="1" s="1"/>
  <c r="X67" i="1" s="1"/>
  <c r="Z67" i="1" s="1"/>
  <c r="AC67" i="1" s="1"/>
  <c r="P67" i="1"/>
  <c r="BP66" i="1"/>
  <c r="BA66" i="1"/>
  <c r="BH66" i="1" s="1"/>
  <c r="Q66" i="1"/>
  <c r="W66" i="1" s="1"/>
  <c r="Y66" i="1" s="1"/>
  <c r="P66" i="1"/>
  <c r="BP65" i="1"/>
  <c r="BA65" i="1"/>
  <c r="BH65" i="1" s="1"/>
  <c r="Q65" i="1"/>
  <c r="W65" i="1" s="1"/>
  <c r="Y65" i="1" s="1"/>
  <c r="P65" i="1"/>
  <c r="BP64" i="1"/>
  <c r="BP328" i="1" s="1"/>
  <c r="BA64" i="1"/>
  <c r="BH64" i="1" s="1"/>
  <c r="AA64" i="1"/>
  <c r="AA60" i="1" s="1"/>
  <c r="Q64" i="1"/>
  <c r="W64" i="1" s="1"/>
  <c r="Y64" i="1" s="1"/>
  <c r="P64" i="1"/>
  <c r="BA63" i="1"/>
  <c r="BH63" i="1" s="1"/>
  <c r="Q63" i="1"/>
  <c r="W63" i="1" s="1"/>
  <c r="Y63" i="1" s="1"/>
  <c r="P63" i="1"/>
  <c r="BA62" i="1"/>
  <c r="BH62" i="1" s="1"/>
  <c r="Q62" i="1"/>
  <c r="W62" i="1" s="1"/>
  <c r="Y62" i="1" s="1"/>
  <c r="P62" i="1"/>
  <c r="BA61" i="1"/>
  <c r="BH61" i="1" s="1"/>
  <c r="Q61" i="1"/>
  <c r="W61" i="1" s="1"/>
  <c r="Y61" i="1" s="1"/>
  <c r="P61" i="1"/>
  <c r="BA60" i="1"/>
  <c r="BH60" i="1" s="1"/>
  <c r="Q60" i="1"/>
  <c r="W60" i="1" s="1"/>
  <c r="Y60" i="1" s="1"/>
  <c r="P60" i="1"/>
  <c r="BA59" i="1"/>
  <c r="BH59" i="1" s="1"/>
  <c r="Q59" i="1"/>
  <c r="W59" i="1" s="1"/>
  <c r="Y59" i="1" s="1"/>
  <c r="P59" i="1"/>
  <c r="BA58" i="1"/>
  <c r="BH58" i="1" s="1"/>
  <c r="AT58" i="1"/>
  <c r="Q58" i="1"/>
  <c r="W58" i="1" s="1"/>
  <c r="Y58" i="1" s="1"/>
  <c r="P58" i="1"/>
  <c r="BA57" i="1"/>
  <c r="BH57" i="1" s="1"/>
  <c r="Q57" i="1"/>
  <c r="W57" i="1" s="1"/>
  <c r="Y57" i="1" s="1"/>
  <c r="P57" i="1"/>
  <c r="BA56" i="1"/>
  <c r="BH56" i="1" s="1"/>
  <c r="Z56" i="1"/>
  <c r="AC56" i="1" s="1"/>
  <c r="Y56" i="1"/>
  <c r="BA55" i="1"/>
  <c r="BH55" i="1" s="1"/>
  <c r="Q55" i="1"/>
  <c r="W55" i="1" s="1"/>
  <c r="Y55" i="1" s="1"/>
  <c r="P55" i="1"/>
  <c r="BA54" i="1"/>
  <c r="BH54" i="1" s="1"/>
  <c r="Q54" i="1"/>
  <c r="W54" i="1" s="1"/>
  <c r="Y54" i="1" s="1"/>
  <c r="P54" i="1"/>
  <c r="CK53" i="1"/>
  <c r="CK328" i="1" s="1"/>
  <c r="BA53" i="1"/>
  <c r="BH53" i="1" s="1"/>
  <c r="AA53" i="1"/>
  <c r="Q53" i="1"/>
  <c r="W53" i="1" s="1"/>
  <c r="Y53" i="1" s="1"/>
  <c r="P53" i="1"/>
  <c r="BA52" i="1"/>
  <c r="BH52" i="1" s="1"/>
  <c r="Q52" i="1"/>
  <c r="W52" i="1" s="1"/>
  <c r="Y52" i="1" s="1"/>
  <c r="P52" i="1"/>
  <c r="BX51" i="1"/>
  <c r="BA51" i="1"/>
  <c r="BH51" i="1" s="1"/>
  <c r="Q51" i="1"/>
  <c r="W51" i="1" s="1"/>
  <c r="Y51" i="1" s="1"/>
  <c r="P51" i="1"/>
  <c r="BA50" i="1"/>
  <c r="BH50" i="1" s="1"/>
  <c r="AR50" i="1"/>
  <c r="BX50" i="1" s="1"/>
  <c r="Q50" i="1"/>
  <c r="W50" i="1" s="1"/>
  <c r="Y50" i="1" s="1"/>
  <c r="BA49" i="1"/>
  <c r="BH49" i="1" s="1"/>
  <c r="AR49" i="1"/>
  <c r="BX49" i="1" s="1"/>
  <c r="Q49" i="1"/>
  <c r="W49" i="1" s="1"/>
  <c r="Y49" i="1" s="1"/>
  <c r="BA48" i="1"/>
  <c r="BH48" i="1" s="1"/>
  <c r="Q48" i="1"/>
  <c r="W48" i="1" s="1"/>
  <c r="Y48" i="1" s="1"/>
  <c r="P48" i="1"/>
  <c r="BA47" i="1"/>
  <c r="BH47" i="1" s="1"/>
  <c r="Q47" i="1"/>
  <c r="W47" i="1" s="1"/>
  <c r="Y47" i="1" s="1"/>
  <c r="P47" i="1"/>
  <c r="BA46" i="1"/>
  <c r="BH46" i="1" s="1"/>
  <c r="Q46" i="1"/>
  <c r="W46" i="1" s="1"/>
  <c r="Y46" i="1" s="1"/>
  <c r="P46" i="1"/>
  <c r="BA45" i="1"/>
  <c r="BH45" i="1" s="1"/>
  <c r="Q45" i="1"/>
  <c r="W45" i="1" s="1"/>
  <c r="Y45" i="1" s="1"/>
  <c r="P45" i="1"/>
  <c r="BA44" i="1"/>
  <c r="BH44" i="1" s="1"/>
  <c r="V44" i="1"/>
  <c r="Q44" i="1"/>
  <c r="R44" i="1" s="1"/>
  <c r="P44" i="1"/>
  <c r="BA43" i="1"/>
  <c r="BH43" i="1" s="1"/>
  <c r="Q43" i="1"/>
  <c r="W43" i="1" s="1"/>
  <c r="Y43" i="1" s="1"/>
  <c r="P43" i="1"/>
  <c r="BA42" i="1"/>
  <c r="BH42" i="1" s="1"/>
  <c r="Q42" i="1"/>
  <c r="W42" i="1" s="1"/>
  <c r="Y42" i="1" s="1"/>
  <c r="P42" i="1"/>
  <c r="BA41" i="1"/>
  <c r="BH41" i="1" s="1"/>
  <c r="Q41" i="1"/>
  <c r="W41" i="1" s="1"/>
  <c r="Y41" i="1" s="1"/>
  <c r="P41" i="1"/>
  <c r="BA40" i="1"/>
  <c r="BH40" i="1" s="1"/>
  <c r="AR40" i="1"/>
  <c r="BX40" i="1" s="1"/>
  <c r="BA39" i="1"/>
  <c r="BH39" i="1" s="1"/>
  <c r="AR39" i="1"/>
  <c r="AU39" i="1" s="1"/>
  <c r="Q39" i="1"/>
  <c r="BA38" i="1"/>
  <c r="BH38" i="1" s="1"/>
  <c r="Q38" i="1"/>
  <c r="W38" i="1" s="1"/>
  <c r="Y38" i="1" s="1"/>
  <c r="P38" i="1"/>
  <c r="BA37" i="1"/>
  <c r="BH37" i="1" s="1"/>
  <c r="AT37" i="1"/>
  <c r="Q37" i="1"/>
  <c r="W37" i="1" s="1"/>
  <c r="Y37" i="1" s="1"/>
  <c r="P37" i="1"/>
  <c r="BA36" i="1"/>
  <c r="BH36" i="1" s="1"/>
  <c r="Q36" i="1"/>
  <c r="W36" i="1" s="1"/>
  <c r="Y36" i="1" s="1"/>
  <c r="P36" i="1"/>
  <c r="BA35" i="1"/>
  <c r="BH35" i="1" s="1"/>
  <c r="AR35" i="1"/>
  <c r="AU35" i="1" s="1"/>
  <c r="BA34" i="1"/>
  <c r="BH34" i="1" s="1"/>
  <c r="Q34" i="1"/>
  <c r="W34" i="1" s="1"/>
  <c r="Y34" i="1" s="1"/>
  <c r="P34" i="1"/>
  <c r="BY33" i="1"/>
  <c r="BA33" i="1"/>
  <c r="BH33" i="1" s="1"/>
  <c r="Q33" i="1"/>
  <c r="W33" i="1" s="1"/>
  <c r="Y33" i="1" s="1"/>
  <c r="P33" i="1"/>
  <c r="BA32" i="1"/>
  <c r="BH32" i="1" s="1"/>
  <c r="AR32" i="1"/>
  <c r="BX32" i="1" s="1"/>
  <c r="BA31" i="1"/>
  <c r="BH31" i="1" s="1"/>
  <c r="Q31" i="1"/>
  <c r="W31" i="1" s="1"/>
  <c r="Y31" i="1" s="1"/>
  <c r="P31" i="1"/>
  <c r="BA30" i="1"/>
  <c r="BH30" i="1" s="1"/>
  <c r="Q30" i="1"/>
  <c r="W30" i="1" s="1"/>
  <c r="Y30" i="1" s="1"/>
  <c r="P30" i="1"/>
  <c r="BA29" i="1"/>
  <c r="BH29" i="1" s="1"/>
  <c r="AR29" i="1"/>
  <c r="BX29" i="1" s="1"/>
  <c r="BA28" i="1"/>
  <c r="BH28" i="1" s="1"/>
  <c r="Q28" i="1"/>
  <c r="W28" i="1" s="1"/>
  <c r="Y28" i="1" s="1"/>
  <c r="P28" i="1"/>
  <c r="BA27" i="1"/>
  <c r="BH27" i="1" s="1"/>
  <c r="V27" i="1"/>
  <c r="Q27" i="1"/>
  <c r="W27" i="1" s="1"/>
  <c r="Y27" i="1" s="1"/>
  <c r="P27" i="1"/>
  <c r="BA26" i="1"/>
  <c r="BH26" i="1" s="1"/>
  <c r="AT26" i="1"/>
  <c r="Q26" i="1"/>
  <c r="W26" i="1" s="1"/>
  <c r="Y26" i="1" s="1"/>
  <c r="P26" i="1"/>
  <c r="BA25" i="1"/>
  <c r="BH25" i="1" s="1"/>
  <c r="AT25" i="1"/>
  <c r="Q25" i="1"/>
  <c r="W25" i="1" s="1"/>
  <c r="Y25" i="1" s="1"/>
  <c r="P25" i="1"/>
  <c r="BA24" i="1"/>
  <c r="BH24" i="1" s="1"/>
  <c r="AT24" i="1"/>
  <c r="Q24" i="1"/>
  <c r="W24" i="1" s="1"/>
  <c r="Y24" i="1" s="1"/>
  <c r="P24" i="1"/>
  <c r="BA23" i="1"/>
  <c r="BH23" i="1" s="1"/>
  <c r="AT23" i="1"/>
  <c r="Q23" i="1"/>
  <c r="W23" i="1" s="1"/>
  <c r="Y23" i="1" s="1"/>
  <c r="P23" i="1"/>
  <c r="BR22" i="1"/>
  <c r="BA22" i="1"/>
  <c r="AP22" i="1"/>
  <c r="BV22" i="1" s="1"/>
  <c r="BA21" i="1"/>
  <c r="BH21" i="1" s="1"/>
  <c r="Q21" i="1"/>
  <c r="W21" i="1" s="1"/>
  <c r="Y21" i="1" s="1"/>
  <c r="P21" i="1"/>
  <c r="BA20" i="1"/>
  <c r="BH20" i="1" s="1"/>
  <c r="Q20" i="1"/>
  <c r="W20" i="1" s="1"/>
  <c r="Y20" i="1" s="1"/>
  <c r="P20" i="1"/>
  <c r="BA19" i="1"/>
  <c r="BH19" i="1" s="1"/>
  <c r="Q19" i="1"/>
  <c r="W19" i="1" s="1"/>
  <c r="Y19" i="1" s="1"/>
  <c r="P19" i="1"/>
  <c r="BA18" i="1"/>
  <c r="BH18" i="1" s="1"/>
  <c r="AT18" i="1"/>
  <c r="Q18" i="1"/>
  <c r="W18" i="1" s="1"/>
  <c r="Y18" i="1" s="1"/>
  <c r="P18" i="1"/>
  <c r="BA17" i="1"/>
  <c r="BH17" i="1" s="1"/>
  <c r="Q17" i="1"/>
  <c r="W17" i="1" s="1"/>
  <c r="Y17" i="1" s="1"/>
  <c r="P17" i="1"/>
  <c r="BA16" i="1"/>
  <c r="BH16" i="1" s="1"/>
  <c r="AR16" i="1"/>
  <c r="AU16" i="1" s="1"/>
  <c r="Q16" i="1"/>
  <c r="W16" i="1" s="1"/>
  <c r="Y16" i="1" s="1"/>
  <c r="AT15" i="1"/>
  <c r="BY15" i="1" s="1"/>
  <c r="Q15" i="1"/>
  <c r="W15" i="1" s="1"/>
  <c r="Y15" i="1" s="1"/>
  <c r="P15" i="1"/>
  <c r="BA14" i="1"/>
  <c r="BH14" i="1" s="1"/>
  <c r="Q14" i="1"/>
  <c r="W14" i="1" s="1"/>
  <c r="Y14" i="1" s="1"/>
  <c r="P14" i="1"/>
  <c r="BY13" i="1"/>
  <c r="BA13" i="1"/>
  <c r="BH13" i="1" s="1"/>
  <c r="Q13" i="1"/>
  <c r="W13" i="1" s="1"/>
  <c r="Y13" i="1" s="1"/>
  <c r="P13" i="1"/>
  <c r="BA12" i="1"/>
  <c r="BH12" i="1" s="1"/>
  <c r="AA12" i="1"/>
  <c r="Q12" i="1"/>
  <c r="W12" i="1" s="1"/>
  <c r="Y12" i="1" s="1"/>
  <c r="P12" i="1"/>
  <c r="BA11" i="1"/>
  <c r="BH11" i="1" s="1"/>
  <c r="AT11" i="1"/>
  <c r="Q11" i="1"/>
  <c r="W11" i="1" s="1"/>
  <c r="Y11" i="1" s="1"/>
  <c r="P11" i="1"/>
  <c r="BA10" i="1"/>
  <c r="BH10" i="1" s="1"/>
  <c r="Q10" i="1"/>
  <c r="W10" i="1" s="1"/>
  <c r="Y10" i="1" s="1"/>
  <c r="P10" i="1"/>
  <c r="BA9" i="1"/>
  <c r="BH9" i="1" s="1"/>
  <c r="Q9" i="1"/>
  <c r="W9" i="1" s="1"/>
  <c r="Y9" i="1" s="1"/>
  <c r="P9" i="1"/>
  <c r="A9" i="1"/>
  <c r="A11" i="1" s="1"/>
  <c r="A12" i="1" s="1"/>
  <c r="A17" i="1" s="1"/>
  <c r="A18" i="1" s="1"/>
  <c r="A19" i="1" s="1"/>
  <c r="A20" i="1" s="1"/>
  <c r="A21" i="1" s="1"/>
  <c r="A23" i="1" s="1"/>
  <c r="A25" i="1" s="1"/>
  <c r="A27" i="1" s="1"/>
  <c r="A30" i="1" s="1"/>
  <c r="A31" i="1" s="1"/>
  <c r="A33" i="1" s="1"/>
  <c r="A34" i="1" s="1"/>
  <c r="A36" i="1" s="1"/>
  <c r="A37" i="1" s="1"/>
  <c r="A38" i="1" s="1"/>
  <c r="A41" i="1" s="1"/>
  <c r="A42" i="1" s="1"/>
  <c r="A43" i="1" s="1"/>
  <c r="A44" i="1" s="1"/>
  <c r="A51" i="1" s="1"/>
  <c r="A52" i="1" s="1"/>
  <c r="A53" i="1" s="1"/>
  <c r="A55" i="1" s="1"/>
  <c r="A56" i="1" s="1"/>
  <c r="A57" i="1" s="1"/>
  <c r="A58" i="1" s="1"/>
  <c r="A59" i="1" s="1"/>
  <c r="A60" i="1" s="1"/>
  <c r="A71" i="1" s="1"/>
  <c r="A72" i="1" s="1"/>
  <c r="A74" i="1" s="1"/>
  <c r="A75" i="1" s="1"/>
  <c r="A77" i="1" s="1"/>
  <c r="A79" i="1" s="1"/>
  <c r="A80" i="1" s="1"/>
  <c r="A81" i="1" s="1"/>
  <c r="A83" i="1" s="1"/>
  <c r="A86" i="1" s="1"/>
  <c r="A88" i="1" s="1"/>
  <c r="A90" i="1" s="1"/>
  <c r="A92" i="1" s="1"/>
  <c r="A95" i="1" s="1"/>
  <c r="A97" i="1" s="1"/>
  <c r="A100" i="1" s="1"/>
  <c r="A101" i="1" s="1"/>
  <c r="A102" i="1" s="1"/>
  <c r="A103" i="1" s="1"/>
  <c r="A104" i="1" s="1"/>
  <c r="A105" i="1" s="1"/>
  <c r="A106" i="1" s="1"/>
  <c r="A108" i="1" s="1"/>
  <c r="A110" i="1" s="1"/>
  <c r="A111" i="1" s="1"/>
  <c r="A112" i="1" s="1"/>
  <c r="A114" i="1" s="1"/>
  <c r="A115" i="1" s="1"/>
  <c r="A116" i="1" s="1"/>
  <c r="A117" i="1" s="1"/>
  <c r="A118" i="1" s="1"/>
  <c r="A121" i="1" s="1"/>
  <c r="A129" i="1" s="1"/>
  <c r="A131" i="1" s="1"/>
  <c r="A132" i="1" s="1"/>
  <c r="A134" i="1" s="1"/>
  <c r="A137" i="1" s="1"/>
  <c r="A139" i="1" s="1"/>
  <c r="A140" i="1" s="1"/>
  <c r="A141" i="1" s="1"/>
  <c r="A144" i="1" s="1"/>
  <c r="A146" i="1" s="1"/>
  <c r="A147" i="1" s="1"/>
  <c r="A149" i="1" s="1"/>
  <c r="A153" i="1" s="1"/>
  <c r="A154" i="1" s="1"/>
  <c r="A156" i="1" s="1"/>
  <c r="A157" i="1" s="1"/>
  <c r="A160" i="1" s="1"/>
  <c r="A165" i="1" s="1"/>
  <c r="A166" i="1" s="1"/>
  <c r="A167" i="1" s="1"/>
  <c r="A170" i="1" s="1"/>
  <c r="A171" i="1" s="1"/>
  <c r="A174" i="1" s="1"/>
  <c r="A175" i="1" s="1"/>
  <c r="A176" i="1" s="1"/>
  <c r="A177" i="1" s="1"/>
  <c r="A180" i="1" s="1"/>
  <c r="A181" i="1" s="1"/>
  <c r="A185" i="1" s="1"/>
  <c r="A189" i="1" s="1"/>
  <c r="A191" i="1" s="1"/>
  <c r="A196" i="1" s="1"/>
  <c r="A200" i="1" s="1"/>
  <c r="A204" i="1" s="1"/>
  <c r="A206" i="1" s="1"/>
  <c r="A207" i="1" s="1"/>
  <c r="A209" i="1" s="1"/>
  <c r="A210" i="1" s="1"/>
  <c r="A211" i="1" s="1"/>
  <c r="A212" i="1" s="1"/>
  <c r="A213" i="1" s="1"/>
  <c r="A216" i="1" s="1"/>
  <c r="A217" i="1" s="1"/>
  <c r="A218" i="1" s="1"/>
  <c r="A219" i="1" s="1"/>
  <c r="A221" i="1" s="1"/>
  <c r="A222" i="1" s="1"/>
  <c r="A223" i="1" s="1"/>
  <c r="A227" i="1" s="1"/>
  <c r="A228" i="1" s="1"/>
  <c r="A233" i="1" s="1"/>
  <c r="A236" i="1" s="1"/>
  <c r="A240" i="1" s="1"/>
  <c r="A242" i="1" s="1"/>
  <c r="A244" i="1" s="1"/>
  <c r="A246" i="1" s="1"/>
  <c r="A250" i="1" s="1"/>
  <c r="A253" i="1" s="1"/>
  <c r="A254" i="1" s="1"/>
  <c r="A255" i="1" s="1"/>
  <c r="A256" i="1" s="1"/>
  <c r="A258" i="1" s="1"/>
  <c r="A262" i="1" s="1"/>
  <c r="A265" i="1" s="1"/>
  <c r="A266" i="1" s="1"/>
  <c r="A268" i="1" s="1"/>
  <c r="A271" i="1" s="1"/>
  <c r="A273" i="1" s="1"/>
  <c r="A274" i="1" s="1"/>
  <c r="A275" i="1" s="1"/>
  <c r="A276" i="1" s="1"/>
  <c r="A277" i="1" s="1"/>
  <c r="A278" i="1" s="1"/>
  <c r="A279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7" i="1" s="1"/>
  <c r="A298" i="1" s="1"/>
  <c r="A312" i="1" s="1"/>
  <c r="A321" i="1" s="1"/>
  <c r="A326" i="1" s="1"/>
  <c r="BA8" i="1"/>
  <c r="BH8" i="1" s="1"/>
  <c r="Q8" i="1"/>
  <c r="P8" i="1"/>
  <c r="CK7" i="1"/>
  <c r="CI7" i="1"/>
  <c r="CH7" i="1"/>
  <c r="CG7" i="1"/>
  <c r="CF7" i="1"/>
  <c r="CE7" i="1"/>
  <c r="CC7" i="1"/>
  <c r="CB7" i="1"/>
  <c r="CA7" i="1"/>
  <c r="BZ7" i="1"/>
  <c r="BW7" i="1"/>
  <c r="BU7" i="1"/>
  <c r="BS7" i="1"/>
  <c r="BP7" i="1"/>
  <c r="BO7" i="1"/>
  <c r="BM7" i="1"/>
  <c r="BK7" i="1"/>
  <c r="BG7" i="1"/>
  <c r="BF7" i="1"/>
  <c r="BE7" i="1"/>
  <c r="BC7" i="1"/>
  <c r="BB7" i="1"/>
  <c r="AZ7" i="1"/>
  <c r="AX7" i="1"/>
  <c r="AW7" i="1"/>
  <c r="AV7" i="1"/>
  <c r="AS7" i="1"/>
  <c r="AQ7" i="1"/>
  <c r="AO7" i="1"/>
  <c r="AM7" i="1"/>
  <c r="AK7" i="1"/>
  <c r="AJ7" i="1"/>
  <c r="AH7" i="1"/>
  <c r="AG7" i="1"/>
  <c r="AF7" i="1"/>
  <c r="AD7" i="1"/>
  <c r="AB7" i="1"/>
  <c r="U7" i="1"/>
  <c r="I7" i="1" l="1"/>
  <c r="AN7" i="1"/>
  <c r="BD7" i="1"/>
  <c r="CJ7" i="1"/>
  <c r="AT331" i="1"/>
  <c r="AU96" i="1"/>
  <c r="I328" i="1"/>
  <c r="AB328" i="1"/>
  <c r="AS329" i="1"/>
  <c r="AA7" i="1"/>
  <c r="R84" i="1"/>
  <c r="X84" i="1" s="1"/>
  <c r="Z84" i="1" s="1"/>
  <c r="AC84" i="1" s="1"/>
  <c r="R250" i="1"/>
  <c r="X250" i="1" s="1"/>
  <c r="Z250" i="1" s="1"/>
  <c r="AC250" i="1" s="1"/>
  <c r="R25" i="1"/>
  <c r="X25" i="1" s="1"/>
  <c r="Z25" i="1" s="1"/>
  <c r="AC25" i="1" s="1"/>
  <c r="BY328" i="1"/>
  <c r="R101" i="1"/>
  <c r="X101" i="1" s="1"/>
  <c r="Z101" i="1" s="1"/>
  <c r="AC101" i="1" s="1"/>
  <c r="AU128" i="1"/>
  <c r="BI7" i="1"/>
  <c r="R264" i="1"/>
  <c r="X264" i="1" s="1"/>
  <c r="Z264" i="1" s="1"/>
  <c r="AC264" i="1" s="1"/>
  <c r="AU269" i="1"/>
  <c r="R20" i="1"/>
  <c r="X20" i="1" s="1"/>
  <c r="Z20" i="1" s="1"/>
  <c r="AC20" i="1" s="1"/>
  <c r="R61" i="1"/>
  <c r="X61" i="1" s="1"/>
  <c r="Z61" i="1" s="1"/>
  <c r="AC61" i="1" s="1"/>
  <c r="R140" i="1"/>
  <c r="X140" i="1" s="1"/>
  <c r="Z140" i="1" s="1"/>
  <c r="AC140" i="1" s="1"/>
  <c r="AT7" i="1"/>
  <c r="AT328" i="1"/>
  <c r="AS5" i="1"/>
  <c r="R9" i="1"/>
  <c r="X9" i="1" s="1"/>
  <c r="Z9" i="1" s="1"/>
  <c r="AC9" i="1" s="1"/>
  <c r="BI328" i="1"/>
  <c r="R121" i="1"/>
  <c r="X121" i="1" s="1"/>
  <c r="Z121" i="1" s="1"/>
  <c r="AC121" i="1" s="1"/>
  <c r="R123" i="1"/>
  <c r="X123" i="1" s="1"/>
  <c r="Z123" i="1" s="1"/>
  <c r="AC123" i="1" s="1"/>
  <c r="R242" i="1"/>
  <c r="X242" i="1" s="1"/>
  <c r="Z242" i="1" s="1"/>
  <c r="AC242" i="1" s="1"/>
  <c r="AU245" i="1"/>
  <c r="R277" i="1"/>
  <c r="X277" i="1" s="1"/>
  <c r="Z277" i="1" s="1"/>
  <c r="AC277" i="1" s="1"/>
  <c r="R308" i="1"/>
  <c r="X308" i="1" s="1"/>
  <c r="Z308" i="1" s="1"/>
  <c r="AU320" i="1"/>
  <c r="R325" i="1"/>
  <c r="X325" i="1" s="1"/>
  <c r="Z325" i="1" s="1"/>
  <c r="AC325" i="1" s="1"/>
  <c r="R12" i="1"/>
  <c r="X12" i="1" s="1"/>
  <c r="Z12" i="1" s="1"/>
  <c r="AC12" i="1" s="1"/>
  <c r="R15" i="1"/>
  <c r="X15" i="1" s="1"/>
  <c r="Z15" i="1" s="1"/>
  <c r="AC15" i="1" s="1"/>
  <c r="AR22" i="1"/>
  <c r="BX22" i="1" s="1"/>
  <c r="AU29" i="1"/>
  <c r="AU40" i="1"/>
  <c r="AU50" i="1"/>
  <c r="R51" i="1"/>
  <c r="X51" i="1" s="1"/>
  <c r="Z51" i="1" s="1"/>
  <c r="AC51" i="1" s="1"/>
  <c r="W67" i="1"/>
  <c r="Y67" i="1" s="1"/>
  <c r="R69" i="1"/>
  <c r="X69" i="1" s="1"/>
  <c r="Z69" i="1" s="1"/>
  <c r="AC69" i="1" s="1"/>
  <c r="W70" i="1"/>
  <c r="Y70" i="1" s="1"/>
  <c r="AU107" i="1"/>
  <c r="R116" i="1"/>
  <c r="X116" i="1" s="1"/>
  <c r="Z116" i="1" s="1"/>
  <c r="AC116" i="1" s="1"/>
  <c r="AU126" i="1"/>
  <c r="AU127" i="1"/>
  <c r="R133" i="1"/>
  <c r="X133" i="1" s="1"/>
  <c r="Z133" i="1" s="1"/>
  <c r="AC133" i="1" s="1"/>
  <c r="R138" i="1"/>
  <c r="X138" i="1" s="1"/>
  <c r="Z138" i="1" s="1"/>
  <c r="AC138" i="1" s="1"/>
  <c r="R146" i="1"/>
  <c r="X146" i="1" s="1"/>
  <c r="Z146" i="1" s="1"/>
  <c r="AC146" i="1" s="1"/>
  <c r="R160" i="1"/>
  <c r="X160" i="1" s="1"/>
  <c r="Z160" i="1" s="1"/>
  <c r="AC160" i="1" s="1"/>
  <c r="R172" i="1"/>
  <c r="X172" i="1" s="1"/>
  <c r="Z172" i="1" s="1"/>
  <c r="AC172" i="1" s="1"/>
  <c r="R222" i="1"/>
  <c r="X222" i="1" s="1"/>
  <c r="Z222" i="1" s="1"/>
  <c r="AC222" i="1" s="1"/>
  <c r="R230" i="1"/>
  <c r="X230" i="1" s="1"/>
  <c r="Z230" i="1" s="1"/>
  <c r="AC230" i="1" s="1"/>
  <c r="R257" i="1"/>
  <c r="X257" i="1" s="1"/>
  <c r="Z257" i="1" s="1"/>
  <c r="AC257" i="1" s="1"/>
  <c r="BX113" i="1"/>
  <c r="AU113" i="1"/>
  <c r="W125" i="1"/>
  <c r="Y125" i="1" s="1"/>
  <c r="R125" i="1"/>
  <c r="X125" i="1" s="1"/>
  <c r="Z125" i="1" s="1"/>
  <c r="AC125" i="1" s="1"/>
  <c r="W135" i="1"/>
  <c r="Y135" i="1" s="1"/>
  <c r="R135" i="1"/>
  <c r="X135" i="1" s="1"/>
  <c r="Z135" i="1" s="1"/>
  <c r="AC135" i="1" s="1"/>
  <c r="W157" i="1"/>
  <c r="Y157" i="1" s="1"/>
  <c r="R157" i="1"/>
  <c r="X157" i="1" s="1"/>
  <c r="Z157" i="1" s="1"/>
  <c r="AC157" i="1" s="1"/>
  <c r="BX168" i="1"/>
  <c r="AU168" i="1"/>
  <c r="W210" i="1"/>
  <c r="Y210" i="1" s="1"/>
  <c r="R210" i="1"/>
  <c r="X210" i="1" s="1"/>
  <c r="Z210" i="1" s="1"/>
  <c r="AC210" i="1" s="1"/>
  <c r="W216" i="1"/>
  <c r="Y216" i="1" s="1"/>
  <c r="R216" i="1"/>
  <c r="X216" i="1" s="1"/>
  <c r="Z216" i="1" s="1"/>
  <c r="AC216" i="1" s="1"/>
  <c r="W254" i="1"/>
  <c r="Y254" i="1" s="1"/>
  <c r="R254" i="1"/>
  <c r="X254" i="1" s="1"/>
  <c r="Z254" i="1" s="1"/>
  <c r="AC254" i="1" s="1"/>
  <c r="W262" i="1"/>
  <c r="Y262" i="1" s="1"/>
  <c r="R262" i="1"/>
  <c r="X262" i="1" s="1"/>
  <c r="Z262" i="1" s="1"/>
  <c r="AC262" i="1" s="1"/>
  <c r="W297" i="1"/>
  <c r="Y297" i="1" s="1"/>
  <c r="R297" i="1"/>
  <c r="X297" i="1" s="1"/>
  <c r="Z297" i="1" s="1"/>
  <c r="AC297" i="1" s="1"/>
  <c r="W305" i="1"/>
  <c r="Y305" i="1" s="1"/>
  <c r="R305" i="1"/>
  <c r="X305" i="1" s="1"/>
  <c r="Z305" i="1" s="1"/>
  <c r="BX306" i="1"/>
  <c r="AU306" i="1"/>
  <c r="W310" i="1"/>
  <c r="Y310" i="1" s="1"/>
  <c r="R310" i="1"/>
  <c r="X310" i="1" s="1"/>
  <c r="Z310" i="1" s="1"/>
  <c r="AC310" i="1" s="1"/>
  <c r="W313" i="1"/>
  <c r="Y313" i="1" s="1"/>
  <c r="R313" i="1"/>
  <c r="X313" i="1" s="1"/>
  <c r="Z313" i="1" s="1"/>
  <c r="AC313" i="1" s="1"/>
  <c r="W317" i="1"/>
  <c r="Y317" i="1" s="1"/>
  <c r="R317" i="1"/>
  <c r="X317" i="1" s="1"/>
  <c r="Z317" i="1" s="1"/>
  <c r="AC317" i="1" s="1"/>
  <c r="R11" i="1"/>
  <c r="X11" i="1" s="1"/>
  <c r="Z11" i="1" s="1"/>
  <c r="AC11" i="1" s="1"/>
  <c r="AA328" i="1"/>
  <c r="AT330" i="1"/>
  <c r="AT332" i="1" s="1"/>
  <c r="R21" i="1"/>
  <c r="X21" i="1" s="1"/>
  <c r="Z21" i="1" s="1"/>
  <c r="AC21" i="1" s="1"/>
  <c r="R23" i="1"/>
  <c r="X23" i="1" s="1"/>
  <c r="Z23" i="1" s="1"/>
  <c r="AC23" i="1" s="1"/>
  <c r="R26" i="1"/>
  <c r="X26" i="1" s="1"/>
  <c r="Z26" i="1" s="1"/>
  <c r="AC26" i="1" s="1"/>
  <c r="V328" i="1"/>
  <c r="R28" i="1"/>
  <c r="X28" i="1" s="1"/>
  <c r="Z28" i="1" s="1"/>
  <c r="AC28" i="1" s="1"/>
  <c r="R63" i="1"/>
  <c r="X63" i="1" s="1"/>
  <c r="Z63" i="1" s="1"/>
  <c r="AC63" i="1" s="1"/>
  <c r="R81" i="1"/>
  <c r="R93" i="1"/>
  <c r="R94" i="1"/>
  <c r="W112" i="1"/>
  <c r="Y112" i="1" s="1"/>
  <c r="R112" i="1"/>
  <c r="X112" i="1" s="1"/>
  <c r="Z112" i="1" s="1"/>
  <c r="AC112" i="1" s="1"/>
  <c r="W139" i="1"/>
  <c r="Y139" i="1" s="1"/>
  <c r="R139" i="1"/>
  <c r="AI328" i="1"/>
  <c r="BX163" i="1"/>
  <c r="AU163" i="1"/>
  <c r="BX169" i="1"/>
  <c r="AU169" i="1"/>
  <c r="W175" i="1"/>
  <c r="Y175" i="1" s="1"/>
  <c r="R175" i="1"/>
  <c r="X175" i="1" s="1"/>
  <c r="Z175" i="1" s="1"/>
  <c r="AC175" i="1" s="1"/>
  <c r="W213" i="1"/>
  <c r="Y213" i="1" s="1"/>
  <c r="R213" i="1"/>
  <c r="X213" i="1" s="1"/>
  <c r="Z213" i="1" s="1"/>
  <c r="AC213" i="1" s="1"/>
  <c r="BX231" i="1"/>
  <c r="AU231" i="1"/>
  <c r="W236" i="1"/>
  <c r="Y236" i="1" s="1"/>
  <c r="R236" i="1"/>
  <c r="X236" i="1" s="1"/>
  <c r="Z236" i="1" s="1"/>
  <c r="AC236" i="1" s="1"/>
  <c r="W274" i="1"/>
  <c r="Y274" i="1" s="1"/>
  <c r="R274" i="1"/>
  <c r="X274" i="1" s="1"/>
  <c r="Z274" i="1" s="1"/>
  <c r="AC274" i="1" s="1"/>
  <c r="AU305" i="1"/>
  <c r="BX305" i="1"/>
  <c r="W311" i="1"/>
  <c r="Y311" i="1" s="1"/>
  <c r="R311" i="1"/>
  <c r="X311" i="1" s="1"/>
  <c r="Z311" i="1" s="1"/>
  <c r="AC311" i="1" s="1"/>
  <c r="S112" i="1"/>
  <c r="S125" i="1"/>
  <c r="S135" i="1"/>
  <c r="BH155" i="1"/>
  <c r="S157" i="1"/>
  <c r="S210" i="1"/>
  <c r="S216" i="1"/>
  <c r="S254" i="1"/>
  <c r="S262" i="1"/>
  <c r="S274" i="1"/>
  <c r="S305" i="1"/>
  <c r="S311" i="1"/>
  <c r="S317" i="1"/>
  <c r="AU280" i="1"/>
  <c r="R294" i="1"/>
  <c r="X294" i="1" s="1"/>
  <c r="Z294" i="1" s="1"/>
  <c r="AC294" i="1" s="1"/>
  <c r="R286" i="1"/>
  <c r="X286" i="1" s="1"/>
  <c r="Z286" i="1" s="1"/>
  <c r="AC286" i="1" s="1"/>
  <c r="R290" i="1"/>
  <c r="X290" i="1" s="1"/>
  <c r="Z290" i="1" s="1"/>
  <c r="AC290" i="1" s="1"/>
  <c r="BJ290" i="1" s="1"/>
  <c r="BQ290" i="1" s="1"/>
  <c r="R10" i="1"/>
  <c r="X10" i="1" s="1"/>
  <c r="Z10" i="1" s="1"/>
  <c r="AC10" i="1" s="1"/>
  <c r="R13" i="1"/>
  <c r="X13" i="1" s="1"/>
  <c r="Z13" i="1" s="1"/>
  <c r="AC13" i="1" s="1"/>
  <c r="R27" i="1"/>
  <c r="X27" i="1" s="1"/>
  <c r="Z27" i="1" s="1"/>
  <c r="AC27" i="1" s="1"/>
  <c r="R30" i="1"/>
  <c r="X30" i="1" s="1"/>
  <c r="Z30" i="1" s="1"/>
  <c r="AC30" i="1" s="1"/>
  <c r="R33" i="1"/>
  <c r="X33" i="1" s="1"/>
  <c r="Z33" i="1" s="1"/>
  <c r="AC33" i="1" s="1"/>
  <c r="R34" i="1"/>
  <c r="X34" i="1" s="1"/>
  <c r="Z34" i="1" s="1"/>
  <c r="AC34" i="1" s="1"/>
  <c r="R37" i="1"/>
  <c r="X37" i="1" s="1"/>
  <c r="Z37" i="1" s="1"/>
  <c r="AC37" i="1" s="1"/>
  <c r="R42" i="1"/>
  <c r="X42" i="1" s="1"/>
  <c r="Z42" i="1" s="1"/>
  <c r="AC42" i="1" s="1"/>
  <c r="R43" i="1"/>
  <c r="X43" i="1" s="1"/>
  <c r="Z43" i="1" s="1"/>
  <c r="AC43" i="1" s="1"/>
  <c r="AU49" i="1"/>
  <c r="R52" i="1"/>
  <c r="X52" i="1" s="1"/>
  <c r="Z52" i="1" s="1"/>
  <c r="AC52" i="1" s="1"/>
  <c r="BJ52" i="1" s="1"/>
  <c r="BQ52" i="1" s="1"/>
  <c r="R54" i="1"/>
  <c r="X54" i="1" s="1"/>
  <c r="Z54" i="1" s="1"/>
  <c r="AC54" i="1" s="1"/>
  <c r="AE54" i="1" s="1"/>
  <c r="R55" i="1"/>
  <c r="X55" i="1" s="1"/>
  <c r="Z55" i="1" s="1"/>
  <c r="AC55" i="1" s="1"/>
  <c r="R58" i="1"/>
  <c r="X58" i="1" s="1"/>
  <c r="Z58" i="1" s="1"/>
  <c r="AC58" i="1" s="1"/>
  <c r="R62" i="1"/>
  <c r="X62" i="1" s="1"/>
  <c r="Z62" i="1" s="1"/>
  <c r="AC62" i="1" s="1"/>
  <c r="R64" i="1"/>
  <c r="X64" i="1" s="1"/>
  <c r="Z64" i="1" s="1"/>
  <c r="AC64" i="1" s="1"/>
  <c r="R65" i="1"/>
  <c r="X65" i="1" s="1"/>
  <c r="Z65" i="1" s="1"/>
  <c r="AC65" i="1" s="1"/>
  <c r="W72" i="1"/>
  <c r="Y72" i="1" s="1"/>
  <c r="BY7" i="1"/>
  <c r="S67" i="1"/>
  <c r="S70" i="1"/>
  <c r="S72" i="1"/>
  <c r="R88" i="1"/>
  <c r="X88" i="1" s="1"/>
  <c r="Z88" i="1" s="1"/>
  <c r="AC88" i="1" s="1"/>
  <c r="AL88" i="1" s="1"/>
  <c r="R103" i="1"/>
  <c r="X103" i="1" s="1"/>
  <c r="Z103" i="1" s="1"/>
  <c r="AC103" i="1" s="1"/>
  <c r="R105" i="1"/>
  <c r="X105" i="1" s="1"/>
  <c r="Z105" i="1" s="1"/>
  <c r="AC105" i="1" s="1"/>
  <c r="BJ105" i="1" s="1"/>
  <c r="BQ105" i="1" s="1"/>
  <c r="R108" i="1"/>
  <c r="X108" i="1" s="1"/>
  <c r="Z108" i="1" s="1"/>
  <c r="AC108" i="1" s="1"/>
  <c r="R118" i="1"/>
  <c r="X118" i="1" s="1"/>
  <c r="Z118" i="1" s="1"/>
  <c r="AC118" i="1" s="1"/>
  <c r="AL118" i="1" s="1"/>
  <c r="R122" i="1"/>
  <c r="X122" i="1" s="1"/>
  <c r="Z122" i="1" s="1"/>
  <c r="AC122" i="1" s="1"/>
  <c r="R124" i="1"/>
  <c r="X124" i="1" s="1"/>
  <c r="Z124" i="1" s="1"/>
  <c r="AC124" i="1" s="1"/>
  <c r="BJ124" i="1" s="1"/>
  <c r="BQ124" i="1" s="1"/>
  <c r="R129" i="1"/>
  <c r="X129" i="1" s="1"/>
  <c r="Z129" i="1" s="1"/>
  <c r="AC129" i="1" s="1"/>
  <c r="R132" i="1"/>
  <c r="X132" i="1" s="1"/>
  <c r="Z132" i="1" s="1"/>
  <c r="AC132" i="1" s="1"/>
  <c r="AE132" i="1" s="1"/>
  <c r="R136" i="1"/>
  <c r="X136" i="1" s="1"/>
  <c r="Z136" i="1" s="1"/>
  <c r="AC136" i="1" s="1"/>
  <c r="R141" i="1"/>
  <c r="X141" i="1" s="1"/>
  <c r="Z141" i="1" s="1"/>
  <c r="AC141" i="1" s="1"/>
  <c r="AL141" i="1" s="1"/>
  <c r="R148" i="1"/>
  <c r="X148" i="1" s="1"/>
  <c r="Z148" i="1" s="1"/>
  <c r="AC148" i="1" s="1"/>
  <c r="R150" i="1"/>
  <c r="X150" i="1" s="1"/>
  <c r="Z150" i="1" s="1"/>
  <c r="AC150" i="1" s="1"/>
  <c r="AE150" i="1" s="1"/>
  <c r="BN150" i="1"/>
  <c r="BN7" i="1" s="1"/>
  <c r="AU151" i="1"/>
  <c r="R154" i="1"/>
  <c r="X154" i="1" s="1"/>
  <c r="Z154" i="1" s="1"/>
  <c r="AC154" i="1" s="1"/>
  <c r="AU155" i="1"/>
  <c r="AU159" i="1"/>
  <c r="R166" i="1"/>
  <c r="X166" i="1" s="1"/>
  <c r="Z166" i="1" s="1"/>
  <c r="AC166" i="1" s="1"/>
  <c r="BJ166" i="1" s="1"/>
  <c r="BQ166" i="1" s="1"/>
  <c r="R170" i="1"/>
  <c r="X170" i="1" s="1"/>
  <c r="Z170" i="1" s="1"/>
  <c r="AC170" i="1" s="1"/>
  <c r="AE170" i="1" s="1"/>
  <c r="R180" i="1"/>
  <c r="X180" i="1" s="1"/>
  <c r="Z180" i="1" s="1"/>
  <c r="AC180" i="1" s="1"/>
  <c r="AL180" i="1" s="1"/>
  <c r="R181" i="1"/>
  <c r="X181" i="1" s="1"/>
  <c r="Z181" i="1" s="1"/>
  <c r="AC181" i="1" s="1"/>
  <c r="R185" i="1"/>
  <c r="X185" i="1" s="1"/>
  <c r="Z185" i="1" s="1"/>
  <c r="AC185" i="1" s="1"/>
  <c r="BJ185" i="1" s="1"/>
  <c r="BQ185" i="1" s="1"/>
  <c r="AU187" i="1"/>
  <c r="R189" i="1"/>
  <c r="X189" i="1" s="1"/>
  <c r="Z189" i="1" s="1"/>
  <c r="AC189" i="1" s="1"/>
  <c r="R192" i="1"/>
  <c r="X192" i="1" s="1"/>
  <c r="Z192" i="1" s="1"/>
  <c r="AC192" i="1" s="1"/>
  <c r="AU193" i="1"/>
  <c r="R196" i="1"/>
  <c r="X196" i="1" s="1"/>
  <c r="Z196" i="1" s="1"/>
  <c r="AC196" i="1" s="1"/>
  <c r="R200" i="1"/>
  <c r="X200" i="1" s="1"/>
  <c r="Z200" i="1" s="1"/>
  <c r="AC200" i="1" s="1"/>
  <c r="BJ200" i="1" s="1"/>
  <c r="BQ200" i="1" s="1"/>
  <c r="R207" i="1"/>
  <c r="X207" i="1" s="1"/>
  <c r="Z207" i="1" s="1"/>
  <c r="AC207" i="1" s="1"/>
  <c r="AU208" i="1"/>
  <c r="R211" i="1"/>
  <c r="R212" i="1"/>
  <c r="R215" i="1"/>
  <c r="R218" i="1"/>
  <c r="R219" i="1"/>
  <c r="BH225" i="1"/>
  <c r="R227" i="1"/>
  <c r="X227" i="1" s="1"/>
  <c r="Z227" i="1" s="1"/>
  <c r="AC227" i="1" s="1"/>
  <c r="R229" i="1"/>
  <c r="X229" i="1" s="1"/>
  <c r="Z229" i="1" s="1"/>
  <c r="AC229" i="1" s="1"/>
  <c r="R233" i="1"/>
  <c r="X233" i="1" s="1"/>
  <c r="Z233" i="1" s="1"/>
  <c r="AC233" i="1" s="1"/>
  <c r="AU239" i="1"/>
  <c r="AU241" i="1"/>
  <c r="AU247" i="1"/>
  <c r="AU248" i="1"/>
  <c r="BX252" i="1"/>
  <c r="AU252" i="1"/>
  <c r="R256" i="1"/>
  <c r="X256" i="1" s="1"/>
  <c r="Z256" i="1" s="1"/>
  <c r="AC256" i="1" s="1"/>
  <c r="R259" i="1"/>
  <c r="X259" i="1" s="1"/>
  <c r="Z259" i="1" s="1"/>
  <c r="AC259" i="1" s="1"/>
  <c r="R266" i="1"/>
  <c r="X266" i="1" s="1"/>
  <c r="Z266" i="1" s="1"/>
  <c r="AC266" i="1" s="1"/>
  <c r="AU267" i="1"/>
  <c r="R272" i="1"/>
  <c r="R276" i="1"/>
  <c r="R279" i="1"/>
  <c r="R281" i="1"/>
  <c r="R282" i="1"/>
  <c r="R284" i="1"/>
  <c r="X284" i="1" s="1"/>
  <c r="Z284" i="1" s="1"/>
  <c r="AC284" i="1" s="1"/>
  <c r="AE284" i="1" s="1"/>
  <c r="R288" i="1"/>
  <c r="X288" i="1" s="1"/>
  <c r="Z288" i="1" s="1"/>
  <c r="AC288" i="1" s="1"/>
  <c r="R292" i="1"/>
  <c r="X292" i="1" s="1"/>
  <c r="Z292" i="1" s="1"/>
  <c r="AC292" i="1" s="1"/>
  <c r="AE292" i="1" s="1"/>
  <c r="R299" i="1"/>
  <c r="X299" i="1" s="1"/>
  <c r="Z299" i="1" s="1"/>
  <c r="AC299" i="1" s="1"/>
  <c r="R300" i="1"/>
  <c r="X300" i="1" s="1"/>
  <c r="Z300" i="1" s="1"/>
  <c r="AC300" i="1" s="1"/>
  <c r="R301" i="1"/>
  <c r="X301" i="1" s="1"/>
  <c r="Z301" i="1" s="1"/>
  <c r="AC301" i="1" s="1"/>
  <c r="R306" i="1"/>
  <c r="X306" i="1" s="1"/>
  <c r="Z306" i="1" s="1"/>
  <c r="AP307" i="1"/>
  <c r="AP309" i="1"/>
  <c r="R318" i="1"/>
  <c r="X318" i="1" s="1"/>
  <c r="Z318" i="1" s="1"/>
  <c r="AC318" i="1" s="1"/>
  <c r="AU249" i="1"/>
  <c r="AU184" i="1"/>
  <c r="AE9" i="1"/>
  <c r="BJ9" i="1"/>
  <c r="BQ9" i="1" s="1"/>
  <c r="AL9" i="1"/>
  <c r="BJ11" i="1"/>
  <c r="BQ11" i="1" s="1"/>
  <c r="AE11" i="1"/>
  <c r="AL11" i="1"/>
  <c r="AE15" i="1"/>
  <c r="BJ15" i="1"/>
  <c r="BQ15" i="1" s="1"/>
  <c r="AL15" i="1"/>
  <c r="BJ20" i="1"/>
  <c r="BQ20" i="1" s="1"/>
  <c r="AE20" i="1"/>
  <c r="AL20" i="1"/>
  <c r="AE21" i="1"/>
  <c r="BJ21" i="1"/>
  <c r="BQ21" i="1" s="1"/>
  <c r="AL21" i="1"/>
  <c r="BJ23" i="1"/>
  <c r="BQ23" i="1" s="1"/>
  <c r="AE23" i="1"/>
  <c r="AL23" i="1"/>
  <c r="AE25" i="1"/>
  <c r="BJ25" i="1"/>
  <c r="BQ25" i="1" s="1"/>
  <c r="AL25" i="1"/>
  <c r="BJ26" i="1"/>
  <c r="BQ26" i="1" s="1"/>
  <c r="AE26" i="1"/>
  <c r="AL26" i="1"/>
  <c r="AE28" i="1"/>
  <c r="BJ28" i="1"/>
  <c r="BQ28" i="1" s="1"/>
  <c r="AL28" i="1"/>
  <c r="AE51" i="1"/>
  <c r="BJ51" i="1"/>
  <c r="BQ51" i="1" s="1"/>
  <c r="AL51" i="1"/>
  <c r="AE61" i="1"/>
  <c r="BJ61" i="1"/>
  <c r="BQ61" i="1" s="1"/>
  <c r="AL61" i="1"/>
  <c r="AE63" i="1"/>
  <c r="BJ63" i="1"/>
  <c r="BQ63" i="1" s="1"/>
  <c r="AL63" i="1"/>
  <c r="AE67" i="1"/>
  <c r="BJ67" i="1"/>
  <c r="BQ67" i="1" s="1"/>
  <c r="AL67" i="1"/>
  <c r="AE70" i="1"/>
  <c r="BJ70" i="1"/>
  <c r="BQ70" i="1" s="1"/>
  <c r="AL70" i="1"/>
  <c r="BJ72" i="1"/>
  <c r="BQ72" i="1" s="1"/>
  <c r="AE72" i="1"/>
  <c r="AL72" i="1"/>
  <c r="AE88" i="1"/>
  <c r="BJ88" i="1"/>
  <c r="BQ88" i="1" s="1"/>
  <c r="AE10" i="1"/>
  <c r="BJ10" i="1"/>
  <c r="BQ10" i="1" s="1"/>
  <c r="AL10" i="1"/>
  <c r="AL12" i="1"/>
  <c r="BJ12" i="1"/>
  <c r="BQ12" i="1" s="1"/>
  <c r="AE12" i="1"/>
  <c r="BJ13" i="1"/>
  <c r="BQ13" i="1" s="1"/>
  <c r="AL27" i="1"/>
  <c r="BJ27" i="1"/>
  <c r="BQ27" i="1" s="1"/>
  <c r="AE27" i="1"/>
  <c r="BJ30" i="1"/>
  <c r="BQ30" i="1" s="1"/>
  <c r="AE33" i="1"/>
  <c r="BJ33" i="1"/>
  <c r="BQ33" i="1" s="1"/>
  <c r="AL33" i="1"/>
  <c r="AE34" i="1"/>
  <c r="AE37" i="1"/>
  <c r="BJ37" i="1"/>
  <c r="BQ37" i="1" s="1"/>
  <c r="AL37" i="1"/>
  <c r="AE42" i="1"/>
  <c r="AE43" i="1"/>
  <c r="BJ43" i="1"/>
  <c r="BQ43" i="1" s="1"/>
  <c r="AL43" i="1"/>
  <c r="X44" i="1"/>
  <c r="Z44" i="1" s="1"/>
  <c r="AC44" i="1" s="1"/>
  <c r="S44" i="1"/>
  <c r="AE52" i="1"/>
  <c r="AL52" i="1"/>
  <c r="BJ54" i="1"/>
  <c r="BQ54" i="1" s="1"/>
  <c r="AL54" i="1"/>
  <c r="AE55" i="1"/>
  <c r="BJ55" i="1"/>
  <c r="BQ55" i="1" s="1"/>
  <c r="AL55" i="1"/>
  <c r="AL56" i="1"/>
  <c r="BJ56" i="1"/>
  <c r="BQ56" i="1" s="1"/>
  <c r="AE56" i="1"/>
  <c r="BJ58" i="1"/>
  <c r="BQ58" i="1" s="1"/>
  <c r="AE62" i="1"/>
  <c r="BJ62" i="1"/>
  <c r="BQ62" i="1" s="1"/>
  <c r="AL62" i="1"/>
  <c r="AL64" i="1"/>
  <c r="AE65" i="1"/>
  <c r="BJ65" i="1"/>
  <c r="BQ65" i="1" s="1"/>
  <c r="AL65" i="1"/>
  <c r="AE69" i="1"/>
  <c r="BJ69" i="1"/>
  <c r="BQ69" i="1" s="1"/>
  <c r="AL69" i="1"/>
  <c r="BJ84" i="1"/>
  <c r="BQ84" i="1" s="1"/>
  <c r="AL84" i="1"/>
  <c r="AE84" i="1"/>
  <c r="BX16" i="1"/>
  <c r="BX35" i="1"/>
  <c r="BX39" i="1"/>
  <c r="W44" i="1"/>
  <c r="Y44" i="1" s="1"/>
  <c r="BX73" i="1"/>
  <c r="R77" i="1"/>
  <c r="R79" i="1"/>
  <c r="R80" i="1"/>
  <c r="R82" i="1"/>
  <c r="R83" i="1"/>
  <c r="R85" i="1"/>
  <c r="R86" i="1"/>
  <c r="W89" i="1"/>
  <c r="Y89" i="1" s="1"/>
  <c r="R89" i="1"/>
  <c r="BT89" i="1"/>
  <c r="BT7" i="1" s="1"/>
  <c r="W90" i="1"/>
  <c r="Y90" i="1" s="1"/>
  <c r="R90" i="1"/>
  <c r="W92" i="1"/>
  <c r="Y92" i="1" s="1"/>
  <c r="R92" i="1"/>
  <c r="W95" i="1"/>
  <c r="Y95" i="1" s="1"/>
  <c r="R95" i="1"/>
  <c r="AE103" i="1"/>
  <c r="BJ103" i="1"/>
  <c r="BQ103" i="1" s="1"/>
  <c r="AL103" i="1"/>
  <c r="AE105" i="1"/>
  <c r="AL105" i="1"/>
  <c r="BJ108" i="1"/>
  <c r="BQ108" i="1" s="1"/>
  <c r="AE108" i="1"/>
  <c r="AL108" i="1"/>
  <c r="BJ118" i="1"/>
  <c r="BQ118" i="1" s="1"/>
  <c r="AE118" i="1"/>
  <c r="AE122" i="1"/>
  <c r="BJ122" i="1"/>
  <c r="BQ122" i="1" s="1"/>
  <c r="AL122" i="1"/>
  <c r="AE124" i="1"/>
  <c r="AL124" i="1"/>
  <c r="BJ129" i="1"/>
  <c r="BQ129" i="1" s="1"/>
  <c r="AE129" i="1"/>
  <c r="AL129" i="1"/>
  <c r="BJ132" i="1"/>
  <c r="BQ132" i="1" s="1"/>
  <c r="AL132" i="1"/>
  <c r="BR132" i="1" s="1"/>
  <c r="AE136" i="1"/>
  <c r="BJ136" i="1"/>
  <c r="BQ136" i="1" s="1"/>
  <c r="AL136" i="1"/>
  <c r="X137" i="1"/>
  <c r="Z137" i="1" s="1"/>
  <c r="AC137" i="1" s="1"/>
  <c r="S137" i="1"/>
  <c r="BJ141" i="1"/>
  <c r="BQ141" i="1" s="1"/>
  <c r="AE141" i="1"/>
  <c r="AE148" i="1"/>
  <c r="BJ148" i="1"/>
  <c r="BQ148" i="1" s="1"/>
  <c r="AL148" i="1"/>
  <c r="AL150" i="1"/>
  <c r="BJ150" i="1"/>
  <c r="BQ150" i="1" s="1"/>
  <c r="BJ154" i="1"/>
  <c r="BQ154" i="1" s="1"/>
  <c r="AL154" i="1"/>
  <c r="AE154" i="1"/>
  <c r="AE166" i="1"/>
  <c r="AL166" i="1"/>
  <c r="BJ170" i="1"/>
  <c r="BQ170" i="1" s="1"/>
  <c r="R8" i="1"/>
  <c r="W8" i="1"/>
  <c r="R14" i="1"/>
  <c r="AY15" i="1"/>
  <c r="R17" i="1"/>
  <c r="R18" i="1"/>
  <c r="R19" i="1"/>
  <c r="AU22" i="1"/>
  <c r="R24" i="1"/>
  <c r="R31" i="1"/>
  <c r="AU32" i="1"/>
  <c r="R36" i="1"/>
  <c r="R38" i="1"/>
  <c r="R41" i="1"/>
  <c r="R45" i="1"/>
  <c r="R46" i="1"/>
  <c r="R47" i="1"/>
  <c r="R48" i="1"/>
  <c r="R53" i="1"/>
  <c r="R57" i="1"/>
  <c r="R59" i="1"/>
  <c r="R60" i="1"/>
  <c r="R66" i="1"/>
  <c r="R68" i="1"/>
  <c r="R71" i="1"/>
  <c r="R74" i="1"/>
  <c r="R75" i="1"/>
  <c r="BX91" i="1"/>
  <c r="AE101" i="1"/>
  <c r="BJ101" i="1"/>
  <c r="BQ101" i="1" s="1"/>
  <c r="AL101" i="1"/>
  <c r="AE112" i="1"/>
  <c r="AE116" i="1"/>
  <c r="BJ116" i="1"/>
  <c r="BQ116" i="1" s="1"/>
  <c r="AL116" i="1"/>
  <c r="AL121" i="1"/>
  <c r="BJ121" i="1"/>
  <c r="BQ121" i="1" s="1"/>
  <c r="AE121" i="1"/>
  <c r="AE123" i="1"/>
  <c r="BJ123" i="1"/>
  <c r="BQ123" i="1" s="1"/>
  <c r="AL123" i="1"/>
  <c r="AE125" i="1"/>
  <c r="BJ125" i="1"/>
  <c r="BQ125" i="1" s="1"/>
  <c r="AL125" i="1"/>
  <c r="AE133" i="1"/>
  <c r="BJ133" i="1"/>
  <c r="BQ133" i="1" s="1"/>
  <c r="AL133" i="1"/>
  <c r="BJ135" i="1"/>
  <c r="BQ135" i="1" s="1"/>
  <c r="AE135" i="1"/>
  <c r="AL135" i="1"/>
  <c r="AE138" i="1"/>
  <c r="BJ138" i="1"/>
  <c r="BQ138" i="1" s="1"/>
  <c r="AL138" i="1"/>
  <c r="BJ140" i="1"/>
  <c r="BQ140" i="1" s="1"/>
  <c r="AE140" i="1"/>
  <c r="AL140" i="1"/>
  <c r="AE146" i="1"/>
  <c r="BJ146" i="1"/>
  <c r="BQ146" i="1" s="1"/>
  <c r="AL146" i="1"/>
  <c r="BJ157" i="1"/>
  <c r="BQ157" i="1" s="1"/>
  <c r="AL157" i="1"/>
  <c r="AE157" i="1"/>
  <c r="BJ160" i="1"/>
  <c r="BQ160" i="1" s="1"/>
  <c r="AL160" i="1"/>
  <c r="AE160" i="1"/>
  <c r="BJ172" i="1"/>
  <c r="BQ172" i="1" s="1"/>
  <c r="AE172" i="1"/>
  <c r="AL172" i="1"/>
  <c r="AE175" i="1"/>
  <c r="BJ175" i="1"/>
  <c r="BQ175" i="1" s="1"/>
  <c r="AL175" i="1"/>
  <c r="Q97" i="1"/>
  <c r="AU98" i="1"/>
  <c r="AU99" i="1"/>
  <c r="BX109" i="1"/>
  <c r="AU132" i="1"/>
  <c r="W137" i="1"/>
  <c r="Y137" i="1" s="1"/>
  <c r="AU152" i="1"/>
  <c r="R153" i="1"/>
  <c r="BX162" i="1"/>
  <c r="BX164" i="1"/>
  <c r="Q174" i="1"/>
  <c r="W176" i="1"/>
  <c r="Y176" i="1" s="1"/>
  <c r="R176" i="1"/>
  <c r="W178" i="1"/>
  <c r="Y178" i="1" s="1"/>
  <c r="R178" i="1"/>
  <c r="BJ180" i="1"/>
  <c r="BQ180" i="1" s="1"/>
  <c r="AE180" i="1"/>
  <c r="AE181" i="1"/>
  <c r="BJ181" i="1"/>
  <c r="BQ181" i="1" s="1"/>
  <c r="AL181" i="1"/>
  <c r="AL185" i="1"/>
  <c r="AE185" i="1"/>
  <c r="BJ189" i="1"/>
  <c r="BQ189" i="1" s="1"/>
  <c r="BJ192" i="1"/>
  <c r="BQ192" i="1" s="1"/>
  <c r="AL192" i="1"/>
  <c r="AE192" i="1"/>
  <c r="AE196" i="1"/>
  <c r="BJ196" i="1"/>
  <c r="BQ196" i="1" s="1"/>
  <c r="AL196" i="1"/>
  <c r="AE200" i="1"/>
  <c r="AL200" i="1"/>
  <c r="BJ207" i="1"/>
  <c r="BQ207" i="1" s="1"/>
  <c r="AL207" i="1"/>
  <c r="AE207" i="1"/>
  <c r="AE227" i="1"/>
  <c r="AE229" i="1"/>
  <c r="BJ229" i="1"/>
  <c r="BQ229" i="1" s="1"/>
  <c r="AL229" i="1"/>
  <c r="AE233" i="1"/>
  <c r="P97" i="1"/>
  <c r="P328" i="1" s="1"/>
  <c r="R100" i="1"/>
  <c r="R102" i="1"/>
  <c r="R104" i="1"/>
  <c r="R106" i="1"/>
  <c r="R110" i="1"/>
  <c r="R111" i="1"/>
  <c r="R114" i="1"/>
  <c r="R115" i="1"/>
  <c r="R117" i="1"/>
  <c r="R119" i="1"/>
  <c r="R130" i="1"/>
  <c r="R131" i="1"/>
  <c r="R134" i="1"/>
  <c r="R142" i="1"/>
  <c r="R143" i="1"/>
  <c r="R144" i="1"/>
  <c r="R145" i="1"/>
  <c r="R147" i="1"/>
  <c r="R149" i="1"/>
  <c r="R156" i="1"/>
  <c r="R158" i="1"/>
  <c r="R161" i="1"/>
  <c r="R165" i="1"/>
  <c r="R167" i="1"/>
  <c r="R171" i="1"/>
  <c r="AU173" i="1"/>
  <c r="W177" i="1"/>
  <c r="Y177" i="1" s="1"/>
  <c r="R177" i="1"/>
  <c r="AL210" i="1"/>
  <c r="BJ210" i="1"/>
  <c r="BQ210" i="1" s="1"/>
  <c r="AE210" i="1"/>
  <c r="BJ213" i="1"/>
  <c r="BQ213" i="1" s="1"/>
  <c r="AL213" i="1"/>
  <c r="AE213" i="1"/>
  <c r="BJ216" i="1"/>
  <c r="BQ216" i="1" s="1"/>
  <c r="AL216" i="1"/>
  <c r="AE216" i="1"/>
  <c r="BJ222" i="1"/>
  <c r="BQ222" i="1" s="1"/>
  <c r="AL222" i="1"/>
  <c r="AE222" i="1"/>
  <c r="AE230" i="1"/>
  <c r="BJ230" i="1"/>
  <c r="BQ230" i="1" s="1"/>
  <c r="AL230" i="1"/>
  <c r="R179" i="1"/>
  <c r="R182" i="1"/>
  <c r="R183" i="1"/>
  <c r="R186" i="1"/>
  <c r="AU190" i="1"/>
  <c r="R191" i="1"/>
  <c r="AU194" i="1"/>
  <c r="R197" i="1"/>
  <c r="AU198" i="1"/>
  <c r="R201" i="1"/>
  <c r="AU202" i="1"/>
  <c r="R204" i="1"/>
  <c r="AU205" i="1"/>
  <c r="R206" i="1"/>
  <c r="R209" i="1"/>
  <c r="R214" i="1"/>
  <c r="R217" i="1"/>
  <c r="R220" i="1"/>
  <c r="R221" i="1"/>
  <c r="R223" i="1"/>
  <c r="R224" i="1"/>
  <c r="AU225" i="1"/>
  <c r="BX232" i="1"/>
  <c r="W234" i="1"/>
  <c r="Y234" i="1" s="1"/>
  <c r="R234" i="1"/>
  <c r="BJ236" i="1"/>
  <c r="BQ236" i="1" s="1"/>
  <c r="AL236" i="1"/>
  <c r="AE236" i="1"/>
  <c r="AL256" i="1"/>
  <c r="BJ259" i="1"/>
  <c r="BQ259" i="1" s="1"/>
  <c r="AL259" i="1"/>
  <c r="AE259" i="1"/>
  <c r="BJ266" i="1"/>
  <c r="BQ266" i="1" s="1"/>
  <c r="AL266" i="1"/>
  <c r="AE266" i="1"/>
  <c r="R228" i="1"/>
  <c r="BX235" i="1"/>
  <c r="AU235" i="1"/>
  <c r="AL242" i="1"/>
  <c r="BJ242" i="1"/>
  <c r="BQ242" i="1" s="1"/>
  <c r="AE242" i="1"/>
  <c r="AE250" i="1"/>
  <c r="BJ250" i="1"/>
  <c r="BQ250" i="1" s="1"/>
  <c r="AL250" i="1"/>
  <c r="BJ254" i="1"/>
  <c r="BQ254" i="1" s="1"/>
  <c r="AL254" i="1"/>
  <c r="AE254" i="1"/>
  <c r="BJ257" i="1"/>
  <c r="BQ257" i="1" s="1"/>
  <c r="AL257" i="1"/>
  <c r="AE257" i="1"/>
  <c r="AE262" i="1"/>
  <c r="BJ262" i="1"/>
  <c r="BQ262" i="1" s="1"/>
  <c r="AL262" i="1"/>
  <c r="AL264" i="1"/>
  <c r="BJ264" i="1"/>
  <c r="BQ264" i="1" s="1"/>
  <c r="AE264" i="1"/>
  <c r="BJ274" i="1"/>
  <c r="BQ274" i="1" s="1"/>
  <c r="AL274" i="1"/>
  <c r="AE274" i="1"/>
  <c r="BJ277" i="1"/>
  <c r="BQ277" i="1" s="1"/>
  <c r="AL277" i="1"/>
  <c r="AE277" i="1"/>
  <c r="R237" i="1"/>
  <c r="R238" i="1"/>
  <c r="AU240" i="1"/>
  <c r="AU243" i="1"/>
  <c r="R244" i="1"/>
  <c r="R246" i="1"/>
  <c r="R251" i="1"/>
  <c r="R253" i="1"/>
  <c r="R255" i="1"/>
  <c r="R258" i="1"/>
  <c r="R260" i="1"/>
  <c r="R263" i="1"/>
  <c r="R265" i="1"/>
  <c r="R268" i="1"/>
  <c r="R271" i="1"/>
  <c r="R273" i="1"/>
  <c r="R275" i="1"/>
  <c r="W283" i="1"/>
  <c r="Y283" i="1" s="1"/>
  <c r="R283" i="1"/>
  <c r="BJ284" i="1"/>
  <c r="BQ284" i="1" s="1"/>
  <c r="BJ288" i="1"/>
  <c r="BQ288" i="1" s="1"/>
  <c r="BJ292" i="1"/>
  <c r="BQ292" i="1" s="1"/>
  <c r="AL299" i="1"/>
  <c r="AE300" i="1"/>
  <c r="BJ300" i="1"/>
  <c r="BQ300" i="1" s="1"/>
  <c r="AL300" i="1"/>
  <c r="AL301" i="1"/>
  <c r="W278" i="1"/>
  <c r="Y278" i="1" s="1"/>
  <c r="R278" i="1"/>
  <c r="X278" i="1" s="1"/>
  <c r="Z278" i="1" s="1"/>
  <c r="AC278" i="1" s="1"/>
  <c r="AE286" i="1"/>
  <c r="BJ286" i="1"/>
  <c r="BQ286" i="1" s="1"/>
  <c r="AL286" i="1"/>
  <c r="AE290" i="1"/>
  <c r="AL294" i="1"/>
  <c r="AE297" i="1"/>
  <c r="BJ297" i="1"/>
  <c r="BQ297" i="1" s="1"/>
  <c r="AL297" i="1"/>
  <c r="W304" i="1"/>
  <c r="Y304" i="1" s="1"/>
  <c r="R304" i="1"/>
  <c r="AE310" i="1"/>
  <c r="BJ310" i="1"/>
  <c r="BQ310" i="1" s="1"/>
  <c r="AE311" i="1"/>
  <c r="BJ311" i="1"/>
  <c r="BQ311" i="1" s="1"/>
  <c r="W312" i="1"/>
  <c r="Y312" i="1" s="1"/>
  <c r="R312" i="1"/>
  <c r="AE313" i="1"/>
  <c r="BJ313" i="1"/>
  <c r="BQ313" i="1" s="1"/>
  <c r="AE318" i="1"/>
  <c r="R285" i="1"/>
  <c r="R287" i="1"/>
  <c r="R289" i="1"/>
  <c r="R291" i="1"/>
  <c r="R293" i="1"/>
  <c r="R295" i="1"/>
  <c r="R296" i="1"/>
  <c r="R298" i="1"/>
  <c r="W302" i="1"/>
  <c r="Y302" i="1" s="1"/>
  <c r="R302" i="1"/>
  <c r="W307" i="1"/>
  <c r="Y307" i="1" s="1"/>
  <c r="R307" i="1"/>
  <c r="W309" i="1"/>
  <c r="Y309" i="1" s="1"/>
  <c r="R309" i="1"/>
  <c r="AL310" i="1"/>
  <c r="AL311" i="1"/>
  <c r="AL313" i="1"/>
  <c r="W315" i="1"/>
  <c r="Y315" i="1" s="1"/>
  <c r="R315" i="1"/>
  <c r="AE317" i="1"/>
  <c r="BJ317" i="1"/>
  <c r="BQ317" i="1" s="1"/>
  <c r="AL317" i="1"/>
  <c r="BX319" i="1"/>
  <c r="AU319" i="1"/>
  <c r="R321" i="1"/>
  <c r="W321" i="1"/>
  <c r="Y321" i="1" s="1"/>
  <c r="W303" i="1"/>
  <c r="Y303" i="1" s="1"/>
  <c r="R303" i="1"/>
  <c r="AL305" i="1"/>
  <c r="BR305" i="1" s="1"/>
  <c r="AE305" i="1"/>
  <c r="BV307" i="1"/>
  <c r="AR307" i="1"/>
  <c r="BR308" i="1"/>
  <c r="AP308" i="1"/>
  <c r="BV309" i="1"/>
  <c r="AR309" i="1"/>
  <c r="W314" i="1"/>
  <c r="Y314" i="1" s="1"/>
  <c r="R314" i="1"/>
  <c r="W316" i="1"/>
  <c r="Y316" i="1" s="1"/>
  <c r="R316" i="1"/>
  <c r="AL325" i="1"/>
  <c r="BJ325" i="1"/>
  <c r="BQ325" i="1" s="1"/>
  <c r="AE325" i="1"/>
  <c r="R322" i="1"/>
  <c r="R323" i="1"/>
  <c r="R324" i="1"/>
  <c r="R326" i="1"/>
  <c r="Z326" i="1" s="1"/>
  <c r="AC326" i="1" s="1"/>
  <c r="R327" i="1"/>
  <c r="Z327" i="1" s="1"/>
  <c r="S26" i="1" l="1"/>
  <c r="S23" i="1"/>
  <c r="S21" i="1"/>
  <c r="AL290" i="1"/>
  <c r="AL292" i="1"/>
  <c r="AP292" i="1" s="1"/>
  <c r="AL284" i="1"/>
  <c r="AL170" i="1"/>
  <c r="S250" i="1"/>
  <c r="S84" i="1"/>
  <c r="S140" i="1"/>
  <c r="S61" i="1"/>
  <c r="S20" i="1"/>
  <c r="S313" i="1"/>
  <c r="S310" i="1"/>
  <c r="S297" i="1"/>
  <c r="S222" i="1"/>
  <c r="S172" i="1"/>
  <c r="S160" i="1"/>
  <c r="S146" i="1"/>
  <c r="S138" i="1"/>
  <c r="S133" i="1"/>
  <c r="S116" i="1"/>
  <c r="S69" i="1"/>
  <c r="S308" i="1"/>
  <c r="S277" i="1"/>
  <c r="S264" i="1"/>
  <c r="S101" i="1"/>
  <c r="BN328" i="1"/>
  <c r="S25" i="1"/>
  <c r="BT328" i="1"/>
  <c r="X281" i="1"/>
  <c r="Z281" i="1" s="1"/>
  <c r="AC281" i="1" s="1"/>
  <c r="S281" i="1"/>
  <c r="X276" i="1"/>
  <c r="Z276" i="1" s="1"/>
  <c r="AC276" i="1" s="1"/>
  <c r="S276" i="1"/>
  <c r="BJ256" i="1"/>
  <c r="BQ256" i="1" s="1"/>
  <c r="AE256" i="1"/>
  <c r="BJ233" i="1"/>
  <c r="BQ233" i="1" s="1"/>
  <c r="AL233" i="1"/>
  <c r="BR233" i="1" s="1"/>
  <c r="BJ227" i="1"/>
  <c r="BQ227" i="1" s="1"/>
  <c r="AL227" i="1"/>
  <c r="BR227" i="1" s="1"/>
  <c r="X219" i="1"/>
  <c r="Z219" i="1" s="1"/>
  <c r="AC219" i="1" s="1"/>
  <c r="S219" i="1"/>
  <c r="X215" i="1"/>
  <c r="Z215" i="1" s="1"/>
  <c r="AC215" i="1" s="1"/>
  <c r="S215" i="1"/>
  <c r="X211" i="1"/>
  <c r="Z211" i="1" s="1"/>
  <c r="AC211" i="1" s="1"/>
  <c r="S211" i="1"/>
  <c r="X139" i="1"/>
  <c r="Z139" i="1" s="1"/>
  <c r="AC139" i="1" s="1"/>
  <c r="S139" i="1"/>
  <c r="BJ112" i="1"/>
  <c r="BQ112" i="1" s="1"/>
  <c r="AL112" i="1"/>
  <c r="BR112" i="1" s="1"/>
  <c r="X94" i="1"/>
  <c r="Z94" i="1" s="1"/>
  <c r="AC94" i="1" s="1"/>
  <c r="S94" i="1"/>
  <c r="X81" i="1"/>
  <c r="Z81" i="1" s="1"/>
  <c r="AC81" i="1" s="1"/>
  <c r="S81" i="1"/>
  <c r="AL318" i="1"/>
  <c r="BJ318" i="1"/>
  <c r="BQ318" i="1" s="1"/>
  <c r="BJ301" i="1"/>
  <c r="BQ301" i="1" s="1"/>
  <c r="AE301" i="1"/>
  <c r="BJ299" i="1"/>
  <c r="BQ299" i="1" s="1"/>
  <c r="AE299" i="1"/>
  <c r="AE288" i="1"/>
  <c r="AL288" i="1"/>
  <c r="AP288" i="1" s="1"/>
  <c r="X282" i="1"/>
  <c r="Z282" i="1" s="1"/>
  <c r="AC282" i="1" s="1"/>
  <c r="S282" i="1"/>
  <c r="X279" i="1"/>
  <c r="Z279" i="1" s="1"/>
  <c r="AC279" i="1" s="1"/>
  <c r="S279" i="1"/>
  <c r="X272" i="1"/>
  <c r="Z272" i="1" s="1"/>
  <c r="AC272" i="1" s="1"/>
  <c r="S272" i="1"/>
  <c r="X218" i="1"/>
  <c r="Z218" i="1" s="1"/>
  <c r="AC218" i="1" s="1"/>
  <c r="S218" i="1"/>
  <c r="X212" i="1"/>
  <c r="Z212" i="1" s="1"/>
  <c r="AC212" i="1" s="1"/>
  <c r="S212" i="1"/>
  <c r="AL189" i="1"/>
  <c r="AE189" i="1"/>
  <c r="BJ64" i="1"/>
  <c r="BQ64" i="1" s="1"/>
  <c r="AE64" i="1"/>
  <c r="AE58" i="1"/>
  <c r="AL58" i="1"/>
  <c r="BR58" i="1" s="1"/>
  <c r="BJ42" i="1"/>
  <c r="BQ42" i="1" s="1"/>
  <c r="AL42" i="1"/>
  <c r="BR42" i="1" s="1"/>
  <c r="BJ34" i="1"/>
  <c r="BQ34" i="1" s="1"/>
  <c r="AL34" i="1"/>
  <c r="BR34" i="1" s="1"/>
  <c r="AE30" i="1"/>
  <c r="AL30" i="1"/>
  <c r="AP30" i="1" s="1"/>
  <c r="AE13" i="1"/>
  <c r="AL13" i="1"/>
  <c r="AP13" i="1" s="1"/>
  <c r="BJ294" i="1"/>
  <c r="BQ294" i="1" s="1"/>
  <c r="AE294" i="1"/>
  <c r="X93" i="1"/>
  <c r="Z93" i="1" s="1"/>
  <c r="AC93" i="1" s="1"/>
  <c r="S93" i="1"/>
  <c r="S257" i="1"/>
  <c r="S230" i="1"/>
  <c r="S9" i="1"/>
  <c r="S51" i="1"/>
  <c r="S15" i="1"/>
  <c r="S12" i="1"/>
  <c r="S325" i="1"/>
  <c r="S242" i="1"/>
  <c r="S123" i="1"/>
  <c r="S121" i="1"/>
  <c r="S64" i="1"/>
  <c r="S62" i="1"/>
  <c r="S58" i="1"/>
  <c r="S55" i="1"/>
  <c r="S54" i="1"/>
  <c r="S52" i="1"/>
  <c r="S236" i="1"/>
  <c r="S213" i="1"/>
  <c r="S175" i="1"/>
  <c r="S63" i="1"/>
  <c r="S28" i="1"/>
  <c r="S300" i="1"/>
  <c r="S299" i="1"/>
  <c r="S259" i="1"/>
  <c r="S256" i="1"/>
  <c r="S192" i="1"/>
  <c r="S189" i="1"/>
  <c r="S11" i="1"/>
  <c r="S286" i="1"/>
  <c r="S294" i="1"/>
  <c r="S290" i="1"/>
  <c r="S318" i="1"/>
  <c r="S306" i="1"/>
  <c r="S301" i="1"/>
  <c r="S266" i="1"/>
  <c r="S233" i="1"/>
  <c r="S229" i="1"/>
  <c r="S227" i="1"/>
  <c r="S207" i="1"/>
  <c r="S200" i="1"/>
  <c r="S196" i="1"/>
  <c r="S185" i="1"/>
  <c r="S181" i="1"/>
  <c r="S180" i="1"/>
  <c r="S170" i="1"/>
  <c r="S166" i="1"/>
  <c r="S154" i="1"/>
  <c r="S150" i="1"/>
  <c r="S148" i="1"/>
  <c r="S141" i="1"/>
  <c r="S136" i="1"/>
  <c r="S132" i="1"/>
  <c r="S129" i="1"/>
  <c r="S124" i="1"/>
  <c r="S122" i="1"/>
  <c r="S118" i="1"/>
  <c r="S108" i="1"/>
  <c r="S105" i="1"/>
  <c r="S103" i="1"/>
  <c r="S88" i="1"/>
  <c r="S65" i="1"/>
  <c r="S292" i="1"/>
  <c r="S288" i="1"/>
  <c r="S284" i="1"/>
  <c r="S43" i="1"/>
  <c r="S42" i="1"/>
  <c r="S37" i="1"/>
  <c r="S34" i="1"/>
  <c r="S33" i="1"/>
  <c r="S30" i="1"/>
  <c r="S27" i="1"/>
  <c r="S13" i="1"/>
  <c r="S10" i="1"/>
  <c r="AC327" i="1"/>
  <c r="AE327" i="1"/>
  <c r="X324" i="1"/>
  <c r="Z324" i="1" s="1"/>
  <c r="AC324" i="1" s="1"/>
  <c r="S324" i="1"/>
  <c r="X322" i="1"/>
  <c r="Z322" i="1" s="1"/>
  <c r="AC322" i="1" s="1"/>
  <c r="S322" i="1"/>
  <c r="BR325" i="1"/>
  <c r="AP325" i="1"/>
  <c r="X316" i="1"/>
  <c r="Z316" i="1" s="1"/>
  <c r="AC316" i="1" s="1"/>
  <c r="S316" i="1"/>
  <c r="X314" i="1"/>
  <c r="Z314" i="1" s="1"/>
  <c r="AC314" i="1" s="1"/>
  <c r="S314" i="1"/>
  <c r="BX309" i="1"/>
  <c r="AU309" i="1"/>
  <c r="BV308" i="1"/>
  <c r="AR308" i="1"/>
  <c r="BX307" i="1"/>
  <c r="AU307" i="1"/>
  <c r="X303" i="1"/>
  <c r="Z303" i="1" s="1"/>
  <c r="AC303" i="1" s="1"/>
  <c r="S303" i="1"/>
  <c r="AP317" i="1"/>
  <c r="BR317" i="1"/>
  <c r="AP311" i="1"/>
  <c r="BR311" i="1"/>
  <c r="S309" i="1"/>
  <c r="X309" i="1"/>
  <c r="Z309" i="1" s="1"/>
  <c r="S307" i="1"/>
  <c r="X307" i="1"/>
  <c r="Z307" i="1" s="1"/>
  <c r="S302" i="1"/>
  <c r="X302" i="1"/>
  <c r="Z302" i="1" s="1"/>
  <c r="AC302" i="1" s="1"/>
  <c r="X298" i="1"/>
  <c r="Z298" i="1" s="1"/>
  <c r="AC298" i="1" s="1"/>
  <c r="S298" i="1"/>
  <c r="X295" i="1"/>
  <c r="Z295" i="1" s="1"/>
  <c r="AC295" i="1" s="1"/>
  <c r="S295" i="1"/>
  <c r="X291" i="1"/>
  <c r="Z291" i="1" s="1"/>
  <c r="AC291" i="1" s="1"/>
  <c r="S291" i="1"/>
  <c r="X287" i="1"/>
  <c r="Z287" i="1" s="1"/>
  <c r="AC287" i="1" s="1"/>
  <c r="S287" i="1"/>
  <c r="S312" i="1"/>
  <c r="X312" i="1"/>
  <c r="Z312" i="1" s="1"/>
  <c r="AC312" i="1" s="1"/>
  <c r="S304" i="1"/>
  <c r="X304" i="1"/>
  <c r="Z304" i="1" s="1"/>
  <c r="AC304" i="1" s="1"/>
  <c r="AP297" i="1"/>
  <c r="BR297" i="1"/>
  <c r="BR294" i="1"/>
  <c r="AP294" i="1"/>
  <c r="AP290" i="1"/>
  <c r="BR290" i="1"/>
  <c r="BR301" i="1"/>
  <c r="AP301" i="1"/>
  <c r="AP300" i="1"/>
  <c r="BR300" i="1"/>
  <c r="BR299" i="1"/>
  <c r="AP299" i="1"/>
  <c r="BR292" i="1"/>
  <c r="AP284" i="1"/>
  <c r="BR284" i="1"/>
  <c r="X275" i="1"/>
  <c r="Z275" i="1" s="1"/>
  <c r="AC275" i="1" s="1"/>
  <c r="S275" i="1"/>
  <c r="X271" i="1"/>
  <c r="Z271" i="1" s="1"/>
  <c r="AC271" i="1" s="1"/>
  <c r="S271" i="1"/>
  <c r="X260" i="1"/>
  <c r="Z260" i="1" s="1"/>
  <c r="AC260" i="1" s="1"/>
  <c r="S260" i="1"/>
  <c r="X255" i="1"/>
  <c r="Z255" i="1" s="1"/>
  <c r="AC255" i="1" s="1"/>
  <c r="S255" i="1"/>
  <c r="X251" i="1"/>
  <c r="Z251" i="1" s="1"/>
  <c r="AC251" i="1" s="1"/>
  <c r="S251" i="1"/>
  <c r="X244" i="1"/>
  <c r="Z244" i="1" s="1"/>
  <c r="AC244" i="1" s="1"/>
  <c r="S244" i="1"/>
  <c r="X237" i="1"/>
  <c r="Z237" i="1" s="1"/>
  <c r="AC237" i="1" s="1"/>
  <c r="S237" i="1"/>
  <c r="BR277" i="1"/>
  <c r="AP277" i="1"/>
  <c r="AP262" i="1"/>
  <c r="BR262" i="1"/>
  <c r="BR257" i="1"/>
  <c r="AP257" i="1"/>
  <c r="BR242" i="1"/>
  <c r="AP242" i="1"/>
  <c r="S278" i="1"/>
  <c r="BR266" i="1"/>
  <c r="AP266" i="1"/>
  <c r="BR256" i="1"/>
  <c r="AP256" i="1"/>
  <c r="S223" i="1"/>
  <c r="X223" i="1"/>
  <c r="Z223" i="1" s="1"/>
  <c r="AC223" i="1" s="1"/>
  <c r="X220" i="1"/>
  <c r="Z220" i="1" s="1"/>
  <c r="AC220" i="1" s="1"/>
  <c r="S220" i="1"/>
  <c r="X214" i="1"/>
  <c r="Z214" i="1" s="1"/>
  <c r="AC214" i="1" s="1"/>
  <c r="S214" i="1"/>
  <c r="X206" i="1"/>
  <c r="Z206" i="1" s="1"/>
  <c r="AC206" i="1" s="1"/>
  <c r="S206" i="1"/>
  <c r="X204" i="1"/>
  <c r="Z204" i="1" s="1"/>
  <c r="AC204" i="1" s="1"/>
  <c r="S204" i="1"/>
  <c r="X201" i="1"/>
  <c r="Z201" i="1" s="1"/>
  <c r="AC201" i="1" s="1"/>
  <c r="S201" i="1"/>
  <c r="X197" i="1"/>
  <c r="Z197" i="1" s="1"/>
  <c r="AC197" i="1" s="1"/>
  <c r="S197" i="1"/>
  <c r="X191" i="1"/>
  <c r="Z191" i="1" s="1"/>
  <c r="AC191" i="1" s="1"/>
  <c r="S191" i="1"/>
  <c r="X186" i="1"/>
  <c r="Z186" i="1" s="1"/>
  <c r="AC186" i="1" s="1"/>
  <c r="S186" i="1"/>
  <c r="X182" i="1"/>
  <c r="Z182" i="1" s="1"/>
  <c r="AC182" i="1" s="1"/>
  <c r="S182" i="1"/>
  <c r="AP230" i="1"/>
  <c r="BR230" i="1"/>
  <c r="BR222" i="1"/>
  <c r="AP222" i="1"/>
  <c r="BR213" i="1"/>
  <c r="AP213" i="1"/>
  <c r="BR210" i="1"/>
  <c r="AP210" i="1"/>
  <c r="X171" i="1"/>
  <c r="Z171" i="1" s="1"/>
  <c r="AC171" i="1" s="1"/>
  <c r="S171" i="1"/>
  <c r="X165" i="1"/>
  <c r="Z165" i="1" s="1"/>
  <c r="AC165" i="1" s="1"/>
  <c r="S165" i="1"/>
  <c r="X158" i="1"/>
  <c r="Z158" i="1" s="1"/>
  <c r="AC158" i="1" s="1"/>
  <c r="S158" i="1"/>
  <c r="X149" i="1"/>
  <c r="Z149" i="1" s="1"/>
  <c r="AC149" i="1" s="1"/>
  <c r="S149" i="1"/>
  <c r="X145" i="1"/>
  <c r="Z145" i="1" s="1"/>
  <c r="AC145" i="1" s="1"/>
  <c r="S145" i="1"/>
  <c r="X143" i="1"/>
  <c r="Z143" i="1" s="1"/>
  <c r="AC143" i="1" s="1"/>
  <c r="S143" i="1"/>
  <c r="X134" i="1"/>
  <c r="Z134" i="1" s="1"/>
  <c r="AC134" i="1" s="1"/>
  <c r="S134" i="1"/>
  <c r="X130" i="1"/>
  <c r="Z130" i="1" s="1"/>
  <c r="AC130" i="1" s="1"/>
  <c r="S130" i="1"/>
  <c r="X117" i="1"/>
  <c r="Z117" i="1" s="1"/>
  <c r="AC117" i="1" s="1"/>
  <c r="S117" i="1"/>
  <c r="X114" i="1"/>
  <c r="Z114" i="1" s="1"/>
  <c r="AC114" i="1" s="1"/>
  <c r="S114" i="1"/>
  <c r="X110" i="1"/>
  <c r="Z110" i="1" s="1"/>
  <c r="AC110" i="1" s="1"/>
  <c r="S110" i="1"/>
  <c r="X104" i="1"/>
  <c r="Z104" i="1" s="1"/>
  <c r="AC104" i="1" s="1"/>
  <c r="S104" i="1"/>
  <c r="X100" i="1"/>
  <c r="Z100" i="1" s="1"/>
  <c r="AC100" i="1" s="1"/>
  <c r="S100" i="1"/>
  <c r="AP229" i="1"/>
  <c r="BR229" i="1"/>
  <c r="BR207" i="1"/>
  <c r="AP207" i="1"/>
  <c r="AP200" i="1"/>
  <c r="BR200" i="1"/>
  <c r="BR185" i="1"/>
  <c r="AP185" i="1"/>
  <c r="X153" i="1"/>
  <c r="Z153" i="1" s="1"/>
  <c r="AC153" i="1" s="1"/>
  <c r="S153" i="1"/>
  <c r="W97" i="1"/>
  <c r="Y97" i="1" s="1"/>
  <c r="R97" i="1"/>
  <c r="X97" i="1" s="1"/>
  <c r="Z97" i="1" s="1"/>
  <c r="AC97" i="1" s="1"/>
  <c r="Q7" i="1"/>
  <c r="BR172" i="1"/>
  <c r="AP172" i="1"/>
  <c r="BR160" i="1"/>
  <c r="AP160" i="1"/>
  <c r="BR140" i="1"/>
  <c r="AP140" i="1"/>
  <c r="AP138" i="1"/>
  <c r="BR138" i="1"/>
  <c r="AP133" i="1"/>
  <c r="BR133" i="1"/>
  <c r="AP123" i="1"/>
  <c r="BR123" i="1"/>
  <c r="AP116" i="1"/>
  <c r="BR116" i="1"/>
  <c r="AP101" i="1"/>
  <c r="BR101" i="1"/>
  <c r="X75" i="1"/>
  <c r="Z75" i="1" s="1"/>
  <c r="AC75" i="1" s="1"/>
  <c r="S75" i="1"/>
  <c r="X71" i="1"/>
  <c r="Z71" i="1" s="1"/>
  <c r="AC71" i="1" s="1"/>
  <c r="S71" i="1"/>
  <c r="X66" i="1"/>
  <c r="Z66" i="1" s="1"/>
  <c r="AC66" i="1" s="1"/>
  <c r="S66" i="1"/>
  <c r="X59" i="1"/>
  <c r="Z59" i="1" s="1"/>
  <c r="AC59" i="1" s="1"/>
  <c r="S59" i="1"/>
  <c r="X53" i="1"/>
  <c r="Z53" i="1" s="1"/>
  <c r="AC53" i="1" s="1"/>
  <c r="S53" i="1"/>
  <c r="X48" i="1"/>
  <c r="Z48" i="1" s="1"/>
  <c r="AC48" i="1" s="1"/>
  <c r="S48" i="1"/>
  <c r="X46" i="1"/>
  <c r="Z46" i="1" s="1"/>
  <c r="AC46" i="1" s="1"/>
  <c r="S46" i="1"/>
  <c r="X41" i="1"/>
  <c r="Z41" i="1" s="1"/>
  <c r="AC41" i="1" s="1"/>
  <c r="S41" i="1"/>
  <c r="X36" i="1"/>
  <c r="Z36" i="1" s="1"/>
  <c r="AC36" i="1" s="1"/>
  <c r="S36" i="1"/>
  <c r="X31" i="1"/>
  <c r="Z31" i="1" s="1"/>
  <c r="AC31" i="1" s="1"/>
  <c r="S31" i="1"/>
  <c r="X18" i="1"/>
  <c r="Z18" i="1" s="1"/>
  <c r="AC18" i="1" s="1"/>
  <c r="S18" i="1"/>
  <c r="AY328" i="1"/>
  <c r="AY7" i="1"/>
  <c r="CD15" i="1"/>
  <c r="CD328" i="1" s="1"/>
  <c r="BA15" i="1"/>
  <c r="Y8" i="1"/>
  <c r="AP170" i="1"/>
  <c r="BR170" i="1"/>
  <c r="AP148" i="1"/>
  <c r="BR148" i="1"/>
  <c r="BR141" i="1"/>
  <c r="AP141" i="1"/>
  <c r="AP136" i="1"/>
  <c r="BR136" i="1"/>
  <c r="BR129" i="1"/>
  <c r="AP129" i="1"/>
  <c r="AP122" i="1"/>
  <c r="BR122" i="1"/>
  <c r="BR118" i="1"/>
  <c r="AP118" i="1"/>
  <c r="BR108" i="1"/>
  <c r="AP108" i="1"/>
  <c r="AP103" i="1"/>
  <c r="BR103" i="1"/>
  <c r="S89" i="1"/>
  <c r="X89" i="1"/>
  <c r="Z89" i="1" s="1"/>
  <c r="AC89" i="1" s="1"/>
  <c r="X86" i="1"/>
  <c r="Z86" i="1" s="1"/>
  <c r="AC86" i="1" s="1"/>
  <c r="S86" i="1"/>
  <c r="X83" i="1"/>
  <c r="Z83" i="1" s="1"/>
  <c r="AC83" i="1" s="1"/>
  <c r="S83" i="1"/>
  <c r="X80" i="1"/>
  <c r="Z80" i="1" s="1"/>
  <c r="AC80" i="1" s="1"/>
  <c r="S80" i="1"/>
  <c r="X77" i="1"/>
  <c r="Z77" i="1" s="1"/>
  <c r="AC77" i="1" s="1"/>
  <c r="S77" i="1"/>
  <c r="Q328" i="1"/>
  <c r="BR84" i="1"/>
  <c r="AP84" i="1"/>
  <c r="BR65" i="1"/>
  <c r="AP65" i="1"/>
  <c r="BR64" i="1"/>
  <c r="AP64" i="1"/>
  <c r="AP58" i="1"/>
  <c r="AP55" i="1"/>
  <c r="BR55" i="1"/>
  <c r="AP52" i="1"/>
  <c r="BR52" i="1"/>
  <c r="BJ44" i="1"/>
  <c r="BQ44" i="1" s="1"/>
  <c r="AE44" i="1"/>
  <c r="AL44" i="1"/>
  <c r="AP42" i="1"/>
  <c r="AP34" i="1"/>
  <c r="BR30" i="1"/>
  <c r="BR13" i="1"/>
  <c r="AP10" i="1"/>
  <c r="BR10" i="1"/>
  <c r="AP88" i="1"/>
  <c r="BR88" i="1"/>
  <c r="BR72" i="1"/>
  <c r="AP72" i="1"/>
  <c r="BR67" i="1"/>
  <c r="AP67" i="1"/>
  <c r="AP61" i="1"/>
  <c r="BR61" i="1"/>
  <c r="AP28" i="1"/>
  <c r="BR28" i="1"/>
  <c r="AP25" i="1"/>
  <c r="BR25" i="1"/>
  <c r="AP21" i="1"/>
  <c r="BR21" i="1"/>
  <c r="AP15" i="1"/>
  <c r="BR15" i="1"/>
  <c r="BJ326" i="1"/>
  <c r="BQ326" i="1" s="1"/>
  <c r="AL326" i="1"/>
  <c r="AE326" i="1"/>
  <c r="X323" i="1"/>
  <c r="Z323" i="1" s="1"/>
  <c r="AC323" i="1" s="1"/>
  <c r="S323" i="1"/>
  <c r="S327" i="1"/>
  <c r="S326" i="1"/>
  <c r="X321" i="1"/>
  <c r="Z321" i="1" s="1"/>
  <c r="AC321" i="1" s="1"/>
  <c r="S321" i="1"/>
  <c r="S315" i="1"/>
  <c r="X315" i="1"/>
  <c r="Z315" i="1" s="1"/>
  <c r="AC315" i="1" s="1"/>
  <c r="AP313" i="1"/>
  <c r="BR313" i="1"/>
  <c r="AP310" i="1"/>
  <c r="BR310" i="1"/>
  <c r="X296" i="1"/>
  <c r="Z296" i="1" s="1"/>
  <c r="AC296" i="1" s="1"/>
  <c r="S296" i="1"/>
  <c r="X293" i="1"/>
  <c r="Z293" i="1" s="1"/>
  <c r="AC293" i="1" s="1"/>
  <c r="S293" i="1"/>
  <c r="X289" i="1"/>
  <c r="Z289" i="1" s="1"/>
  <c r="AC289" i="1" s="1"/>
  <c r="S289" i="1"/>
  <c r="X285" i="1"/>
  <c r="Z285" i="1" s="1"/>
  <c r="AC285" i="1" s="1"/>
  <c r="S285" i="1"/>
  <c r="AP286" i="1"/>
  <c r="BR286" i="1"/>
  <c r="BJ278" i="1"/>
  <c r="BQ278" i="1" s="1"/>
  <c r="AL278" i="1"/>
  <c r="AE278" i="1"/>
  <c r="BR288" i="1"/>
  <c r="X283" i="1"/>
  <c r="Z283" i="1" s="1"/>
  <c r="AC283" i="1" s="1"/>
  <c r="S283" i="1"/>
  <c r="X273" i="1"/>
  <c r="Z273" i="1" s="1"/>
  <c r="AC273" i="1" s="1"/>
  <c r="S273" i="1"/>
  <c r="X268" i="1"/>
  <c r="Z268" i="1" s="1"/>
  <c r="AC268" i="1" s="1"/>
  <c r="S268" i="1"/>
  <c r="X265" i="1"/>
  <c r="Z265" i="1" s="1"/>
  <c r="AC265" i="1" s="1"/>
  <c r="S265" i="1"/>
  <c r="X263" i="1"/>
  <c r="Z263" i="1" s="1"/>
  <c r="AC263" i="1" s="1"/>
  <c r="S263" i="1"/>
  <c r="X258" i="1"/>
  <c r="Z258" i="1" s="1"/>
  <c r="AC258" i="1" s="1"/>
  <c r="S258" i="1"/>
  <c r="X253" i="1"/>
  <c r="Z253" i="1" s="1"/>
  <c r="AC253" i="1" s="1"/>
  <c r="S253" i="1"/>
  <c r="X246" i="1"/>
  <c r="Z246" i="1" s="1"/>
  <c r="AC246" i="1" s="1"/>
  <c r="S246" i="1"/>
  <c r="X238" i="1"/>
  <c r="Z238" i="1" s="1"/>
  <c r="AC238" i="1" s="1"/>
  <c r="S238" i="1"/>
  <c r="BR274" i="1"/>
  <c r="AP274" i="1"/>
  <c r="BR264" i="1"/>
  <c r="AP264" i="1"/>
  <c r="BR254" i="1"/>
  <c r="AP254" i="1"/>
  <c r="AP250" i="1"/>
  <c r="BR250" i="1"/>
  <c r="X228" i="1"/>
  <c r="Z228" i="1" s="1"/>
  <c r="AC228" i="1" s="1"/>
  <c r="S228" i="1"/>
  <c r="BR259" i="1"/>
  <c r="AP259" i="1"/>
  <c r="BR236" i="1"/>
  <c r="AP236" i="1"/>
  <c r="S234" i="1"/>
  <c r="X234" i="1"/>
  <c r="Z234" i="1" s="1"/>
  <c r="AC234" i="1" s="1"/>
  <c r="X224" i="1"/>
  <c r="Z224" i="1" s="1"/>
  <c r="AC224" i="1" s="1"/>
  <c r="S224" i="1"/>
  <c r="X221" i="1"/>
  <c r="Z221" i="1" s="1"/>
  <c r="AC221" i="1" s="1"/>
  <c r="S221" i="1"/>
  <c r="X217" i="1"/>
  <c r="Z217" i="1" s="1"/>
  <c r="AC217" i="1" s="1"/>
  <c r="S217" i="1"/>
  <c r="X209" i="1"/>
  <c r="Z209" i="1" s="1"/>
  <c r="AC209" i="1" s="1"/>
  <c r="S209" i="1"/>
  <c r="X183" i="1"/>
  <c r="Z183" i="1" s="1"/>
  <c r="AC183" i="1" s="1"/>
  <c r="S183" i="1"/>
  <c r="X179" i="1"/>
  <c r="Z179" i="1" s="1"/>
  <c r="AC179" i="1" s="1"/>
  <c r="S179" i="1"/>
  <c r="BR216" i="1"/>
  <c r="AP216" i="1"/>
  <c r="X177" i="1"/>
  <c r="Z177" i="1" s="1"/>
  <c r="AC177" i="1" s="1"/>
  <c r="S177" i="1"/>
  <c r="X167" i="1"/>
  <c r="Z167" i="1" s="1"/>
  <c r="AC167" i="1" s="1"/>
  <c r="S167" i="1"/>
  <c r="X161" i="1"/>
  <c r="Z161" i="1" s="1"/>
  <c r="AC161" i="1" s="1"/>
  <c r="S161" i="1"/>
  <c r="X156" i="1"/>
  <c r="Z156" i="1" s="1"/>
  <c r="AC156" i="1" s="1"/>
  <c r="S156" i="1"/>
  <c r="X147" i="1"/>
  <c r="Z147" i="1" s="1"/>
  <c r="AC147" i="1" s="1"/>
  <c r="S147" i="1"/>
  <c r="X144" i="1"/>
  <c r="Z144" i="1" s="1"/>
  <c r="AC144" i="1" s="1"/>
  <c r="S144" i="1"/>
  <c r="X142" i="1"/>
  <c r="Z142" i="1" s="1"/>
  <c r="AC142" i="1" s="1"/>
  <c r="S142" i="1"/>
  <c r="X131" i="1"/>
  <c r="Z131" i="1" s="1"/>
  <c r="AC131" i="1" s="1"/>
  <c r="S131" i="1"/>
  <c r="X119" i="1"/>
  <c r="Z119" i="1" s="1"/>
  <c r="AC119" i="1" s="1"/>
  <c r="S119" i="1"/>
  <c r="X115" i="1"/>
  <c r="Z115" i="1" s="1"/>
  <c r="AC115" i="1" s="1"/>
  <c r="S115" i="1"/>
  <c r="X111" i="1"/>
  <c r="Z111" i="1" s="1"/>
  <c r="AC111" i="1" s="1"/>
  <c r="S111" i="1"/>
  <c r="X106" i="1"/>
  <c r="Z106" i="1" s="1"/>
  <c r="AC106" i="1" s="1"/>
  <c r="S106" i="1"/>
  <c r="X102" i="1"/>
  <c r="Z102" i="1" s="1"/>
  <c r="AC102" i="1" s="1"/>
  <c r="S102" i="1"/>
  <c r="P7" i="1"/>
  <c r="AP233" i="1"/>
  <c r="AP227" i="1"/>
  <c r="AP196" i="1"/>
  <c r="BR196" i="1"/>
  <c r="BR192" i="1"/>
  <c r="AP192" i="1"/>
  <c r="BR189" i="1"/>
  <c r="AP189" i="1"/>
  <c r="AP181" i="1"/>
  <c r="BR181" i="1"/>
  <c r="BR180" i="1"/>
  <c r="AP180" i="1"/>
  <c r="S178" i="1"/>
  <c r="X178" i="1"/>
  <c r="Z178" i="1" s="1"/>
  <c r="AC178" i="1" s="1"/>
  <c r="S176" i="1"/>
  <c r="X176" i="1"/>
  <c r="Z176" i="1" s="1"/>
  <c r="AC176" i="1" s="1"/>
  <c r="W174" i="1"/>
  <c r="Y174" i="1" s="1"/>
  <c r="R174" i="1"/>
  <c r="AP175" i="1"/>
  <c r="BR175" i="1"/>
  <c r="BR157" i="1"/>
  <c r="AP157" i="1"/>
  <c r="AP146" i="1"/>
  <c r="BR146" i="1"/>
  <c r="BR135" i="1"/>
  <c r="AP135" i="1"/>
  <c r="AP125" i="1"/>
  <c r="BR125" i="1"/>
  <c r="BR121" i="1"/>
  <c r="AP121" i="1"/>
  <c r="AP112" i="1"/>
  <c r="X74" i="1"/>
  <c r="Z74" i="1" s="1"/>
  <c r="AC74" i="1" s="1"/>
  <c r="S74" i="1"/>
  <c r="X68" i="1"/>
  <c r="Z68" i="1" s="1"/>
  <c r="AC68" i="1" s="1"/>
  <c r="S68" i="1"/>
  <c r="X60" i="1"/>
  <c r="Z60" i="1" s="1"/>
  <c r="AC60" i="1" s="1"/>
  <c r="S60" i="1"/>
  <c r="X57" i="1"/>
  <c r="Z57" i="1" s="1"/>
  <c r="AC57" i="1" s="1"/>
  <c r="S57" i="1"/>
  <c r="X47" i="1"/>
  <c r="Z47" i="1" s="1"/>
  <c r="AC47" i="1" s="1"/>
  <c r="S47" i="1"/>
  <c r="X45" i="1"/>
  <c r="Z45" i="1" s="1"/>
  <c r="AC45" i="1" s="1"/>
  <c r="S45" i="1"/>
  <c r="X38" i="1"/>
  <c r="Z38" i="1" s="1"/>
  <c r="AC38" i="1" s="1"/>
  <c r="S38" i="1"/>
  <c r="X24" i="1"/>
  <c r="Z24" i="1" s="1"/>
  <c r="AC24" i="1" s="1"/>
  <c r="S24" i="1"/>
  <c r="X19" i="1"/>
  <c r="Z19" i="1" s="1"/>
  <c r="AC19" i="1" s="1"/>
  <c r="S19" i="1"/>
  <c r="X17" i="1"/>
  <c r="Z17" i="1" s="1"/>
  <c r="AC17" i="1" s="1"/>
  <c r="S17" i="1"/>
  <c r="X14" i="1"/>
  <c r="Z14" i="1" s="1"/>
  <c r="AC14" i="1" s="1"/>
  <c r="S14" i="1"/>
  <c r="X8" i="1"/>
  <c r="S8" i="1"/>
  <c r="AP166" i="1"/>
  <c r="BR166" i="1"/>
  <c r="BR154" i="1"/>
  <c r="AP154" i="1"/>
  <c r="BR150" i="1"/>
  <c r="AP150" i="1"/>
  <c r="AE137" i="1"/>
  <c r="BJ137" i="1"/>
  <c r="BQ137" i="1" s="1"/>
  <c r="AL137" i="1"/>
  <c r="AP124" i="1"/>
  <c r="BR124" i="1"/>
  <c r="AP105" i="1"/>
  <c r="BR105" i="1"/>
  <c r="S95" i="1"/>
  <c r="X95" i="1"/>
  <c r="Z95" i="1" s="1"/>
  <c r="AC95" i="1" s="1"/>
  <c r="S92" i="1"/>
  <c r="X92" i="1"/>
  <c r="Z92" i="1" s="1"/>
  <c r="AC92" i="1" s="1"/>
  <c r="S90" i="1"/>
  <c r="X90" i="1"/>
  <c r="Z90" i="1" s="1"/>
  <c r="AC90" i="1" s="1"/>
  <c r="X85" i="1"/>
  <c r="Z85" i="1" s="1"/>
  <c r="AC85" i="1" s="1"/>
  <c r="S85" i="1"/>
  <c r="X82" i="1"/>
  <c r="Z82" i="1" s="1"/>
  <c r="AC82" i="1" s="1"/>
  <c r="S82" i="1"/>
  <c r="X79" i="1"/>
  <c r="Z79" i="1" s="1"/>
  <c r="AC79" i="1" s="1"/>
  <c r="S79" i="1"/>
  <c r="AP69" i="1"/>
  <c r="BR69" i="1"/>
  <c r="AP62" i="1"/>
  <c r="BR62" i="1"/>
  <c r="BR56" i="1"/>
  <c r="AP56" i="1"/>
  <c r="BR54" i="1"/>
  <c r="AP54" i="1"/>
  <c r="AP43" i="1"/>
  <c r="BR43" i="1"/>
  <c r="AP37" i="1"/>
  <c r="BR37" i="1"/>
  <c r="AP33" i="1"/>
  <c r="BR33" i="1"/>
  <c r="BR27" i="1"/>
  <c r="AP27" i="1"/>
  <c r="BR12" i="1"/>
  <c r="AP12" i="1"/>
  <c r="AP70" i="1"/>
  <c r="BR70" i="1"/>
  <c r="AP63" i="1"/>
  <c r="BR63" i="1"/>
  <c r="AP51" i="1"/>
  <c r="BV51" i="1" s="1"/>
  <c r="BR51" i="1"/>
  <c r="BR26" i="1"/>
  <c r="AP26" i="1"/>
  <c r="BR23" i="1"/>
  <c r="AP23" i="1"/>
  <c r="BR20" i="1"/>
  <c r="AP20" i="1"/>
  <c r="BR11" i="1"/>
  <c r="AP11" i="1"/>
  <c r="AP9" i="1"/>
  <c r="BR9" i="1"/>
  <c r="R328" i="1" l="1"/>
  <c r="AC331" i="1" s="1"/>
  <c r="S97" i="1"/>
  <c r="AE93" i="1"/>
  <c r="AL93" i="1"/>
  <c r="BJ93" i="1"/>
  <c r="BQ93" i="1" s="1"/>
  <c r="AL212" i="1"/>
  <c r="AE212" i="1"/>
  <c r="BJ212" i="1"/>
  <c r="BQ212" i="1" s="1"/>
  <c r="AL218" i="1"/>
  <c r="AE218" i="1"/>
  <c r="BJ218" i="1"/>
  <c r="BQ218" i="1" s="1"/>
  <c r="BJ272" i="1"/>
  <c r="BQ272" i="1" s="1"/>
  <c r="AL272" i="1"/>
  <c r="AE272" i="1"/>
  <c r="AE279" i="1"/>
  <c r="AL279" i="1"/>
  <c r="BJ279" i="1"/>
  <c r="BQ279" i="1" s="1"/>
  <c r="AE282" i="1"/>
  <c r="AL282" i="1"/>
  <c r="BJ282" i="1"/>
  <c r="BQ282" i="1" s="1"/>
  <c r="BR318" i="1"/>
  <c r="AP318" i="1"/>
  <c r="BJ81" i="1"/>
  <c r="BQ81" i="1" s="1"/>
  <c r="AE81" i="1"/>
  <c r="AL81" i="1"/>
  <c r="AE94" i="1"/>
  <c r="BJ94" i="1"/>
  <c r="BQ94" i="1" s="1"/>
  <c r="AL94" i="1"/>
  <c r="BJ139" i="1"/>
  <c r="BQ139" i="1" s="1"/>
  <c r="AL139" i="1"/>
  <c r="AE139" i="1"/>
  <c r="BJ211" i="1"/>
  <c r="BQ211" i="1" s="1"/>
  <c r="AE211" i="1"/>
  <c r="AL211" i="1"/>
  <c r="BJ215" i="1"/>
  <c r="BQ215" i="1" s="1"/>
  <c r="AL215" i="1"/>
  <c r="AE215" i="1"/>
  <c r="BJ219" i="1"/>
  <c r="BQ219" i="1" s="1"/>
  <c r="AE219" i="1"/>
  <c r="AL219" i="1"/>
  <c r="BJ276" i="1"/>
  <c r="AE276" i="1"/>
  <c r="AL276" i="1"/>
  <c r="BJ281" i="1"/>
  <c r="BQ281" i="1" s="1"/>
  <c r="AL281" i="1"/>
  <c r="AE281" i="1"/>
  <c r="BV70" i="1"/>
  <c r="AR70" i="1"/>
  <c r="BV37" i="1"/>
  <c r="AR37" i="1"/>
  <c r="BV62" i="1"/>
  <c r="AR62" i="1"/>
  <c r="BJ79" i="1"/>
  <c r="BQ79" i="1" s="1"/>
  <c r="AE79" i="1"/>
  <c r="AL79" i="1"/>
  <c r="BJ85" i="1"/>
  <c r="BQ85" i="1" s="1"/>
  <c r="AE85" i="1"/>
  <c r="AL85" i="1"/>
  <c r="BV105" i="1"/>
  <c r="AR105" i="1"/>
  <c r="BV124" i="1"/>
  <c r="AR124" i="1"/>
  <c r="AR150" i="1"/>
  <c r="BV150" i="1"/>
  <c r="AR154" i="1"/>
  <c r="BV154" i="1"/>
  <c r="AL14" i="1"/>
  <c r="BJ14" i="1"/>
  <c r="BQ14" i="1" s="1"/>
  <c r="AE14" i="1"/>
  <c r="AL17" i="1"/>
  <c r="BJ17" i="1"/>
  <c r="BQ17" i="1" s="1"/>
  <c r="AE17" i="1"/>
  <c r="BJ19" i="1"/>
  <c r="BQ19" i="1" s="1"/>
  <c r="AL19" i="1"/>
  <c r="AE19" i="1"/>
  <c r="BJ24" i="1"/>
  <c r="BQ24" i="1" s="1"/>
  <c r="AL24" i="1"/>
  <c r="AE24" i="1"/>
  <c r="AL38" i="1"/>
  <c r="BJ38" i="1"/>
  <c r="BQ38" i="1" s="1"/>
  <c r="AE38" i="1"/>
  <c r="BJ45" i="1"/>
  <c r="BQ45" i="1" s="1"/>
  <c r="AL45" i="1"/>
  <c r="AE45" i="1"/>
  <c r="BJ47" i="1"/>
  <c r="BQ47" i="1" s="1"/>
  <c r="AL47" i="1"/>
  <c r="AE47" i="1"/>
  <c r="BJ57" i="1"/>
  <c r="BQ57" i="1" s="1"/>
  <c r="AL57" i="1"/>
  <c r="AE57" i="1"/>
  <c r="AE60" i="1"/>
  <c r="BJ60" i="1"/>
  <c r="BQ60" i="1" s="1"/>
  <c r="AL60" i="1"/>
  <c r="BJ68" i="1"/>
  <c r="BQ68" i="1" s="1"/>
  <c r="AL68" i="1"/>
  <c r="AE68" i="1"/>
  <c r="AL74" i="1"/>
  <c r="BJ74" i="1"/>
  <c r="BQ74" i="1" s="1"/>
  <c r="AE74" i="1"/>
  <c r="BV125" i="1"/>
  <c r="AR125" i="1"/>
  <c r="BV146" i="1"/>
  <c r="AR146" i="1"/>
  <c r="BV175" i="1"/>
  <c r="AR175" i="1"/>
  <c r="BV181" i="1"/>
  <c r="AR181" i="1"/>
  <c r="BV196" i="1"/>
  <c r="AR196" i="1"/>
  <c r="BJ102" i="1"/>
  <c r="BQ102" i="1" s="1"/>
  <c r="AL102" i="1"/>
  <c r="AE102" i="1"/>
  <c r="AL106" i="1"/>
  <c r="BJ106" i="1"/>
  <c r="BQ106" i="1" s="1"/>
  <c r="AE106" i="1"/>
  <c r="BJ111" i="1"/>
  <c r="BQ111" i="1" s="1"/>
  <c r="AL111" i="1"/>
  <c r="AE111" i="1"/>
  <c r="BJ115" i="1"/>
  <c r="BQ115" i="1" s="1"/>
  <c r="AL115" i="1"/>
  <c r="AE115" i="1"/>
  <c r="AL119" i="1"/>
  <c r="BJ119" i="1"/>
  <c r="BQ119" i="1" s="1"/>
  <c r="AE119" i="1"/>
  <c r="BJ131" i="1"/>
  <c r="BQ131" i="1" s="1"/>
  <c r="AL131" i="1"/>
  <c r="AE131" i="1"/>
  <c r="BJ142" i="1"/>
  <c r="BQ142" i="1" s="1"/>
  <c r="AL142" i="1"/>
  <c r="AE142" i="1"/>
  <c r="BJ144" i="1"/>
  <c r="BQ144" i="1" s="1"/>
  <c r="AL144" i="1"/>
  <c r="AE144" i="1"/>
  <c r="BJ147" i="1"/>
  <c r="BQ147" i="1" s="1"/>
  <c r="AE147" i="1"/>
  <c r="AL147" i="1"/>
  <c r="BJ156" i="1"/>
  <c r="BQ156" i="1" s="1"/>
  <c r="AL156" i="1"/>
  <c r="AE156" i="1"/>
  <c r="BJ161" i="1"/>
  <c r="BQ161" i="1" s="1"/>
  <c r="AL161" i="1"/>
  <c r="AE161" i="1"/>
  <c r="AL167" i="1"/>
  <c r="BJ167" i="1"/>
  <c r="BQ167" i="1" s="1"/>
  <c r="AE167" i="1"/>
  <c r="BJ177" i="1"/>
  <c r="BQ177" i="1" s="1"/>
  <c r="AL177" i="1"/>
  <c r="AE177" i="1"/>
  <c r="AE179" i="1"/>
  <c r="BJ179" i="1"/>
  <c r="BQ179" i="1" s="1"/>
  <c r="AL179" i="1"/>
  <c r="BJ183" i="1"/>
  <c r="BQ183" i="1" s="1"/>
  <c r="AE183" i="1"/>
  <c r="AL183" i="1"/>
  <c r="AE209" i="1"/>
  <c r="BJ209" i="1"/>
  <c r="BQ209" i="1" s="1"/>
  <c r="AL209" i="1"/>
  <c r="AE217" i="1"/>
  <c r="BJ217" i="1"/>
  <c r="BQ217" i="1" s="1"/>
  <c r="AL217" i="1"/>
  <c r="AE221" i="1"/>
  <c r="BJ221" i="1"/>
  <c r="BQ221" i="1" s="1"/>
  <c r="AL221" i="1"/>
  <c r="AE224" i="1"/>
  <c r="BJ224" i="1"/>
  <c r="BQ224" i="1" s="1"/>
  <c r="AL224" i="1"/>
  <c r="AE228" i="1"/>
  <c r="BJ228" i="1"/>
  <c r="BQ228" i="1" s="1"/>
  <c r="AL228" i="1"/>
  <c r="BV250" i="1"/>
  <c r="AR250" i="1"/>
  <c r="BJ238" i="1"/>
  <c r="BQ238" i="1" s="1"/>
  <c r="AE238" i="1"/>
  <c r="AL238" i="1"/>
  <c r="BJ246" i="1"/>
  <c r="BQ246" i="1" s="1"/>
  <c r="AE246" i="1"/>
  <c r="AL246" i="1"/>
  <c r="AE253" i="1"/>
  <c r="BJ253" i="1"/>
  <c r="BQ253" i="1" s="1"/>
  <c r="AL253" i="1"/>
  <c r="BJ258" i="1"/>
  <c r="BQ258" i="1" s="1"/>
  <c r="AL258" i="1"/>
  <c r="AE258" i="1"/>
  <c r="AE263" i="1"/>
  <c r="BJ263" i="1"/>
  <c r="BQ263" i="1" s="1"/>
  <c r="AL263" i="1"/>
  <c r="AE265" i="1"/>
  <c r="BJ265" i="1"/>
  <c r="BQ265" i="1" s="1"/>
  <c r="AL265" i="1"/>
  <c r="BJ268" i="1"/>
  <c r="BQ268" i="1" s="1"/>
  <c r="AE268" i="1"/>
  <c r="AL268" i="1"/>
  <c r="AE273" i="1"/>
  <c r="BJ273" i="1"/>
  <c r="BQ273" i="1" s="1"/>
  <c r="AL273" i="1"/>
  <c r="BJ283" i="1"/>
  <c r="BQ283" i="1" s="1"/>
  <c r="AL283" i="1"/>
  <c r="AE283" i="1"/>
  <c r="BV288" i="1"/>
  <c r="AR288" i="1"/>
  <c r="BR278" i="1"/>
  <c r="AP278" i="1"/>
  <c r="BJ315" i="1"/>
  <c r="BQ315" i="1" s="1"/>
  <c r="AL315" i="1"/>
  <c r="AE315" i="1"/>
  <c r="BV15" i="1"/>
  <c r="AR15" i="1"/>
  <c r="BV21" i="1"/>
  <c r="AR21" i="1"/>
  <c r="BV25" i="1"/>
  <c r="AR25" i="1"/>
  <c r="BV28" i="1"/>
  <c r="AR28" i="1"/>
  <c r="BV61" i="1"/>
  <c r="AR61" i="1"/>
  <c r="BV88" i="1"/>
  <c r="AR88" i="1"/>
  <c r="BV10" i="1"/>
  <c r="AR10" i="1"/>
  <c r="BV13" i="1"/>
  <c r="AR13" i="1"/>
  <c r="BV30" i="1"/>
  <c r="AR30" i="1"/>
  <c r="BV64" i="1"/>
  <c r="AR64" i="1"/>
  <c r="BV65" i="1"/>
  <c r="AR65" i="1"/>
  <c r="AR84" i="1"/>
  <c r="BV84" i="1"/>
  <c r="AE77" i="1"/>
  <c r="BJ77" i="1"/>
  <c r="BQ77" i="1" s="1"/>
  <c r="AL77" i="1"/>
  <c r="AE80" i="1"/>
  <c r="BJ80" i="1"/>
  <c r="BQ80" i="1" s="1"/>
  <c r="AL80" i="1"/>
  <c r="BJ83" i="1"/>
  <c r="BQ83" i="1" s="1"/>
  <c r="AL83" i="1"/>
  <c r="AE83" i="1"/>
  <c r="BJ86" i="1"/>
  <c r="BQ86" i="1" s="1"/>
  <c r="AE86" i="1"/>
  <c r="AL86" i="1"/>
  <c r="BV103" i="1"/>
  <c r="AR103" i="1"/>
  <c r="BV122" i="1"/>
  <c r="AR122" i="1"/>
  <c r="BV136" i="1"/>
  <c r="AR136" i="1"/>
  <c r="BV148" i="1"/>
  <c r="AR148" i="1"/>
  <c r="BV170" i="1"/>
  <c r="AR170" i="1"/>
  <c r="Y328" i="1"/>
  <c r="Y7" i="1"/>
  <c r="BH15" i="1"/>
  <c r="BH7" i="1" s="1"/>
  <c r="BA7" i="1"/>
  <c r="BA328" i="1"/>
  <c r="BH328" i="1" s="1"/>
  <c r="BV140" i="1"/>
  <c r="AR140" i="1"/>
  <c r="AR160" i="1"/>
  <c r="BV160" i="1"/>
  <c r="BV172" i="1"/>
  <c r="AR172" i="1"/>
  <c r="BX172" i="1" s="1"/>
  <c r="AE153" i="1"/>
  <c r="BJ153" i="1"/>
  <c r="BQ153" i="1" s="1"/>
  <c r="AL153" i="1"/>
  <c r="BV200" i="1"/>
  <c r="AR200" i="1"/>
  <c r="BV229" i="1"/>
  <c r="AR229" i="1"/>
  <c r="BJ100" i="1"/>
  <c r="BQ100" i="1" s="1"/>
  <c r="AL100" i="1"/>
  <c r="AE100" i="1"/>
  <c r="BJ104" i="1"/>
  <c r="BQ104" i="1" s="1"/>
  <c r="AL104" i="1"/>
  <c r="AE104" i="1"/>
  <c r="AL110" i="1"/>
  <c r="BJ110" i="1"/>
  <c r="BQ110" i="1" s="1"/>
  <c r="AE110" i="1"/>
  <c r="AL114" i="1"/>
  <c r="BJ114" i="1"/>
  <c r="BQ114" i="1" s="1"/>
  <c r="AE114" i="1"/>
  <c r="BJ117" i="1"/>
  <c r="BQ117" i="1" s="1"/>
  <c r="AL117" i="1"/>
  <c r="AE117" i="1"/>
  <c r="AL130" i="1"/>
  <c r="BJ130" i="1"/>
  <c r="BQ130" i="1" s="1"/>
  <c r="AE130" i="1"/>
  <c r="AE134" i="1"/>
  <c r="BJ134" i="1"/>
  <c r="BQ134" i="1" s="1"/>
  <c r="AL134" i="1"/>
  <c r="AL143" i="1"/>
  <c r="BJ143" i="1"/>
  <c r="BQ143" i="1" s="1"/>
  <c r="AE143" i="1"/>
  <c r="BJ145" i="1"/>
  <c r="BQ145" i="1" s="1"/>
  <c r="AL145" i="1"/>
  <c r="AE145" i="1"/>
  <c r="BJ149" i="1"/>
  <c r="BQ149" i="1" s="1"/>
  <c r="AL149" i="1"/>
  <c r="AE149" i="1"/>
  <c r="BJ158" i="1"/>
  <c r="BQ158" i="1" s="1"/>
  <c r="AL158" i="1"/>
  <c r="AE158" i="1"/>
  <c r="BJ165" i="1"/>
  <c r="BQ165" i="1" s="1"/>
  <c r="AL165" i="1"/>
  <c r="AE165" i="1"/>
  <c r="AL171" i="1"/>
  <c r="BJ171" i="1"/>
  <c r="BQ171" i="1" s="1"/>
  <c r="AE171" i="1"/>
  <c r="BV230" i="1"/>
  <c r="AR230" i="1"/>
  <c r="BJ182" i="1"/>
  <c r="BQ182" i="1" s="1"/>
  <c r="AE182" i="1"/>
  <c r="AL182" i="1"/>
  <c r="BJ186" i="1"/>
  <c r="BQ186" i="1" s="1"/>
  <c r="AE186" i="1"/>
  <c r="AL186" i="1"/>
  <c r="BJ191" i="1"/>
  <c r="BQ191" i="1" s="1"/>
  <c r="AL191" i="1"/>
  <c r="AE191" i="1"/>
  <c r="AE197" i="1"/>
  <c r="BJ197" i="1"/>
  <c r="BQ197" i="1" s="1"/>
  <c r="AL197" i="1"/>
  <c r="AE201" i="1"/>
  <c r="BJ201" i="1"/>
  <c r="BQ201" i="1" s="1"/>
  <c r="AL201" i="1"/>
  <c r="AE204" i="1"/>
  <c r="BJ204" i="1"/>
  <c r="BQ204" i="1" s="1"/>
  <c r="AL204" i="1"/>
  <c r="AE206" i="1"/>
  <c r="BJ206" i="1"/>
  <c r="BQ206" i="1" s="1"/>
  <c r="AL206" i="1"/>
  <c r="AL214" i="1"/>
  <c r="AE214" i="1"/>
  <c r="BJ214" i="1"/>
  <c r="BQ214" i="1" s="1"/>
  <c r="BJ220" i="1"/>
  <c r="BQ220" i="1" s="1"/>
  <c r="AE220" i="1"/>
  <c r="AL220" i="1"/>
  <c r="BV242" i="1"/>
  <c r="AR242" i="1"/>
  <c r="BX242" i="1" s="1"/>
  <c r="AR257" i="1"/>
  <c r="BV257" i="1"/>
  <c r="AR277" i="1"/>
  <c r="BV277" i="1"/>
  <c r="AR299" i="1"/>
  <c r="BV299" i="1"/>
  <c r="AR301" i="1"/>
  <c r="BV301" i="1"/>
  <c r="AR294" i="1"/>
  <c r="BV294" i="1"/>
  <c r="BJ304" i="1"/>
  <c r="AL304" i="1"/>
  <c r="AE304" i="1"/>
  <c r="AE312" i="1"/>
  <c r="BJ312" i="1"/>
  <c r="BQ312" i="1" s="1"/>
  <c r="AL312" i="1"/>
  <c r="BJ302" i="1"/>
  <c r="BQ302" i="1" s="1"/>
  <c r="AL302" i="1"/>
  <c r="AE302" i="1"/>
  <c r="BX308" i="1"/>
  <c r="AU308" i="1"/>
  <c r="BV325" i="1"/>
  <c r="AR325" i="1"/>
  <c r="BV9" i="1"/>
  <c r="AR9" i="1"/>
  <c r="BV63" i="1"/>
  <c r="AR63" i="1"/>
  <c r="BV33" i="1"/>
  <c r="AR33" i="1"/>
  <c r="BV43" i="1"/>
  <c r="AR43" i="1"/>
  <c r="BV69" i="1"/>
  <c r="AR69" i="1"/>
  <c r="BJ82" i="1"/>
  <c r="BQ82" i="1" s="1"/>
  <c r="AE82" i="1"/>
  <c r="AL82" i="1"/>
  <c r="BV11" i="1"/>
  <c r="AR11" i="1"/>
  <c r="BV20" i="1"/>
  <c r="AR20" i="1"/>
  <c r="BV23" i="1"/>
  <c r="AR23" i="1"/>
  <c r="BV26" i="1"/>
  <c r="AR26" i="1"/>
  <c r="BV12" i="1"/>
  <c r="AR12" i="1"/>
  <c r="BX12" i="1" s="1"/>
  <c r="BV27" i="1"/>
  <c r="AR27" i="1"/>
  <c r="BX27" i="1" s="1"/>
  <c r="BV54" i="1"/>
  <c r="AR54" i="1"/>
  <c r="BV56" i="1"/>
  <c r="AR56" i="1"/>
  <c r="BX56" i="1" s="1"/>
  <c r="BJ90" i="1"/>
  <c r="BQ90" i="1" s="1"/>
  <c r="AL90" i="1"/>
  <c r="AE90" i="1"/>
  <c r="AE92" i="1"/>
  <c r="BJ92" i="1"/>
  <c r="BQ92" i="1" s="1"/>
  <c r="AL92" i="1"/>
  <c r="BJ95" i="1"/>
  <c r="BQ95" i="1" s="1"/>
  <c r="AL95" i="1"/>
  <c r="AE95" i="1"/>
  <c r="AP137" i="1"/>
  <c r="BR137" i="1"/>
  <c r="BV166" i="1"/>
  <c r="AR166" i="1"/>
  <c r="Z8" i="1"/>
  <c r="BV112" i="1"/>
  <c r="AR112" i="1"/>
  <c r="BX112" i="1" s="1"/>
  <c r="BV121" i="1"/>
  <c r="AR121" i="1"/>
  <c r="BX121" i="1" s="1"/>
  <c r="BV135" i="1"/>
  <c r="AR135" i="1"/>
  <c r="AR157" i="1"/>
  <c r="BV157" i="1"/>
  <c r="X174" i="1"/>
  <c r="Z174" i="1" s="1"/>
  <c r="AC174" i="1" s="1"/>
  <c r="S174" i="1"/>
  <c r="S328" i="1" s="1"/>
  <c r="AL176" i="1"/>
  <c r="BJ176" i="1"/>
  <c r="BQ176" i="1" s="1"/>
  <c r="AE176" i="1"/>
  <c r="AE178" i="1"/>
  <c r="BJ178" i="1"/>
  <c r="BQ178" i="1" s="1"/>
  <c r="AL178" i="1"/>
  <c r="AR180" i="1"/>
  <c r="BV180" i="1"/>
  <c r="BV189" i="1"/>
  <c r="AR189" i="1"/>
  <c r="BX189" i="1" s="1"/>
  <c r="AR192" i="1"/>
  <c r="BV192" i="1"/>
  <c r="BV227" i="1"/>
  <c r="AR227" i="1"/>
  <c r="BV233" i="1"/>
  <c r="AR233" i="1"/>
  <c r="BX233" i="1" s="1"/>
  <c r="AR216" i="1"/>
  <c r="BV216" i="1"/>
  <c r="AL234" i="1"/>
  <c r="BJ234" i="1"/>
  <c r="BQ234" i="1" s="1"/>
  <c r="AE234" i="1"/>
  <c r="BV236" i="1"/>
  <c r="AR236" i="1"/>
  <c r="AR259" i="1"/>
  <c r="BV259" i="1"/>
  <c r="AR254" i="1"/>
  <c r="BV254" i="1"/>
  <c r="BV264" i="1"/>
  <c r="AR264" i="1"/>
  <c r="AR274" i="1"/>
  <c r="BV274" i="1"/>
  <c r="BV286" i="1"/>
  <c r="AR286" i="1"/>
  <c r="BJ285" i="1"/>
  <c r="BQ285" i="1" s="1"/>
  <c r="AL285" i="1"/>
  <c r="AE285" i="1"/>
  <c r="BJ289" i="1"/>
  <c r="BQ289" i="1" s="1"/>
  <c r="AL289" i="1"/>
  <c r="AE289" i="1"/>
  <c r="BJ293" i="1"/>
  <c r="BQ293" i="1" s="1"/>
  <c r="AL293" i="1"/>
  <c r="AE293" i="1"/>
  <c r="AL296" i="1"/>
  <c r="BJ296" i="1"/>
  <c r="BQ296" i="1" s="1"/>
  <c r="AE296" i="1"/>
  <c r="BV310" i="1"/>
  <c r="AR310" i="1"/>
  <c r="BV313" i="1"/>
  <c r="AR313" i="1"/>
  <c r="BJ321" i="1"/>
  <c r="BQ321" i="1" s="1"/>
  <c r="AL321" i="1"/>
  <c r="AE321" i="1"/>
  <c r="AE323" i="1"/>
  <c r="BJ323" i="1"/>
  <c r="BQ323" i="1" s="1"/>
  <c r="AL323" i="1"/>
  <c r="BR326" i="1"/>
  <c r="AP326" i="1"/>
  <c r="BV67" i="1"/>
  <c r="AR67" i="1"/>
  <c r="BV72" i="1"/>
  <c r="AR72" i="1"/>
  <c r="BX72" i="1" s="1"/>
  <c r="BV34" i="1"/>
  <c r="AR34" i="1"/>
  <c r="BX34" i="1" s="1"/>
  <c r="BV42" i="1"/>
  <c r="AR42" i="1"/>
  <c r="BX42" i="1" s="1"/>
  <c r="BR44" i="1"/>
  <c r="AP44" i="1"/>
  <c r="BV52" i="1"/>
  <c r="AR52" i="1"/>
  <c r="BV55" i="1"/>
  <c r="AR55" i="1"/>
  <c r="BV58" i="1"/>
  <c r="AR58" i="1"/>
  <c r="BJ89" i="1"/>
  <c r="BQ89" i="1" s="1"/>
  <c r="AL89" i="1"/>
  <c r="AE89" i="1"/>
  <c r="BV108" i="1"/>
  <c r="AR108" i="1"/>
  <c r="BX108" i="1" s="1"/>
  <c r="AR118" i="1"/>
  <c r="BV118" i="1"/>
  <c r="BV129" i="1"/>
  <c r="AR129" i="1"/>
  <c r="AR141" i="1"/>
  <c r="BV141" i="1"/>
  <c r="W7" i="1"/>
  <c r="W328" i="1"/>
  <c r="CD7" i="1"/>
  <c r="AL18" i="1"/>
  <c r="BJ18" i="1"/>
  <c r="BQ18" i="1" s="1"/>
  <c r="AE18" i="1"/>
  <c r="BJ31" i="1"/>
  <c r="BQ31" i="1" s="1"/>
  <c r="AL31" i="1"/>
  <c r="AE31" i="1"/>
  <c r="BJ36" i="1"/>
  <c r="BQ36" i="1" s="1"/>
  <c r="AL36" i="1"/>
  <c r="AE36" i="1"/>
  <c r="BJ41" i="1"/>
  <c r="BQ41" i="1" s="1"/>
  <c r="AL41" i="1"/>
  <c r="AE41" i="1"/>
  <c r="BJ46" i="1"/>
  <c r="BQ46" i="1" s="1"/>
  <c r="AL46" i="1"/>
  <c r="AE46" i="1"/>
  <c r="BJ48" i="1"/>
  <c r="BQ48" i="1" s="1"/>
  <c r="AL48" i="1"/>
  <c r="AE48" i="1"/>
  <c r="AE53" i="1"/>
  <c r="BJ53" i="1"/>
  <c r="BQ53" i="1" s="1"/>
  <c r="AL53" i="1"/>
  <c r="AL59" i="1"/>
  <c r="BJ59" i="1"/>
  <c r="BQ59" i="1" s="1"/>
  <c r="AE59" i="1"/>
  <c r="BJ66" i="1"/>
  <c r="BQ66" i="1" s="1"/>
  <c r="AL66" i="1"/>
  <c r="AE66" i="1"/>
  <c r="AC335" i="1"/>
  <c r="AL71" i="1"/>
  <c r="BJ71" i="1"/>
  <c r="BQ71" i="1" s="1"/>
  <c r="AE71" i="1"/>
  <c r="BJ75" i="1"/>
  <c r="BQ75" i="1" s="1"/>
  <c r="AL75" i="1"/>
  <c r="AE75" i="1"/>
  <c r="BV101" i="1"/>
  <c r="AR101" i="1"/>
  <c r="BV116" i="1"/>
  <c r="AR116" i="1"/>
  <c r="BV123" i="1"/>
  <c r="AR123" i="1"/>
  <c r="BV133" i="1"/>
  <c r="AR133" i="1"/>
  <c r="BV138" i="1"/>
  <c r="AR138" i="1"/>
  <c r="AC333" i="1"/>
  <c r="AL97" i="1"/>
  <c r="BJ97" i="1"/>
  <c r="BQ97" i="1" s="1"/>
  <c r="AE97" i="1"/>
  <c r="BV185" i="1"/>
  <c r="AR185" i="1"/>
  <c r="BX185" i="1" s="1"/>
  <c r="AR207" i="1"/>
  <c r="BV207" i="1"/>
  <c r="BV210" i="1"/>
  <c r="AR210" i="1"/>
  <c r="BV213" i="1"/>
  <c r="AR213" i="1"/>
  <c r="AR222" i="1"/>
  <c r="BV222" i="1"/>
  <c r="AL223" i="1"/>
  <c r="BJ223" i="1"/>
  <c r="BQ223" i="1" s="1"/>
  <c r="AE223" i="1"/>
  <c r="AR256" i="1"/>
  <c r="BV256" i="1"/>
  <c r="AR266" i="1"/>
  <c r="BV266" i="1"/>
  <c r="BV262" i="1"/>
  <c r="AR262" i="1"/>
  <c r="AE237" i="1"/>
  <c r="BJ237" i="1"/>
  <c r="BQ237" i="1" s="1"/>
  <c r="AL237" i="1"/>
  <c r="BJ244" i="1"/>
  <c r="BQ244" i="1" s="1"/>
  <c r="AE244" i="1"/>
  <c r="AL244" i="1"/>
  <c r="BJ251" i="1"/>
  <c r="BQ251" i="1" s="1"/>
  <c r="AE251" i="1"/>
  <c r="AL251" i="1"/>
  <c r="AE255" i="1"/>
  <c r="BJ255" i="1"/>
  <c r="BQ255" i="1" s="1"/>
  <c r="AL255" i="1"/>
  <c r="BJ260" i="1"/>
  <c r="BQ260" i="1" s="1"/>
  <c r="AE260" i="1"/>
  <c r="AL260" i="1"/>
  <c r="BJ271" i="1"/>
  <c r="BQ271" i="1" s="1"/>
  <c r="AL271" i="1"/>
  <c r="AE271" i="1"/>
  <c r="AE275" i="1"/>
  <c r="BJ275" i="1"/>
  <c r="BQ275" i="1" s="1"/>
  <c r="AL275" i="1"/>
  <c r="BV284" i="1"/>
  <c r="AR284" i="1"/>
  <c r="BV292" i="1"/>
  <c r="AR292" i="1"/>
  <c r="BV300" i="1"/>
  <c r="AR300" i="1"/>
  <c r="BV290" i="1"/>
  <c r="AR290" i="1"/>
  <c r="BV297" i="1"/>
  <c r="AR297" i="1"/>
  <c r="BJ287" i="1"/>
  <c r="BQ287" i="1" s="1"/>
  <c r="AL287" i="1"/>
  <c r="AE287" i="1"/>
  <c r="BJ291" i="1"/>
  <c r="BQ291" i="1" s="1"/>
  <c r="AL291" i="1"/>
  <c r="AE291" i="1"/>
  <c r="AL295" i="1"/>
  <c r="BJ295" i="1"/>
  <c r="BQ295" i="1" s="1"/>
  <c r="AE295" i="1"/>
  <c r="AE298" i="1"/>
  <c r="BJ298" i="1"/>
  <c r="BQ298" i="1" s="1"/>
  <c r="AL298" i="1"/>
  <c r="BV311" i="1"/>
  <c r="AR311" i="1"/>
  <c r="BV317" i="1"/>
  <c r="AR317" i="1"/>
  <c r="BJ303" i="1"/>
  <c r="BQ303" i="1" s="1"/>
  <c r="AL303" i="1"/>
  <c r="AE303" i="1"/>
  <c r="BJ314" i="1"/>
  <c r="BQ314" i="1" s="1"/>
  <c r="AL314" i="1"/>
  <c r="AE314" i="1"/>
  <c r="BJ316" i="1"/>
  <c r="BQ316" i="1" s="1"/>
  <c r="AL316" i="1"/>
  <c r="AE316" i="1"/>
  <c r="AE322" i="1"/>
  <c r="BJ322" i="1"/>
  <c r="BQ322" i="1" s="1"/>
  <c r="AL322" i="1"/>
  <c r="BJ324" i="1"/>
  <c r="BQ324" i="1" s="1"/>
  <c r="AE324" i="1"/>
  <c r="AL324" i="1"/>
  <c r="AL327" i="1"/>
  <c r="BJ327" i="1"/>
  <c r="BQ327" i="1" s="1"/>
  <c r="X7" i="1" l="1"/>
  <c r="AP219" i="1"/>
  <c r="BR219" i="1"/>
  <c r="AP215" i="1"/>
  <c r="BR215" i="1"/>
  <c r="AP211" i="1"/>
  <c r="BR211" i="1"/>
  <c r="AP139" i="1"/>
  <c r="BR139" i="1"/>
  <c r="BR94" i="1"/>
  <c r="AP94" i="1"/>
  <c r="BV318" i="1"/>
  <c r="AR318" i="1"/>
  <c r="AP279" i="1"/>
  <c r="BR279" i="1"/>
  <c r="AP212" i="1"/>
  <c r="BR212" i="1"/>
  <c r="BR93" i="1"/>
  <c r="AP93" i="1"/>
  <c r="BR281" i="1"/>
  <c r="AP281" i="1"/>
  <c r="AP276" i="1"/>
  <c r="BR276" i="1"/>
  <c r="BL276" i="1"/>
  <c r="BL328" i="1" s="1"/>
  <c r="AP81" i="1"/>
  <c r="BR81" i="1"/>
  <c r="BR282" i="1"/>
  <c r="AP282" i="1"/>
  <c r="AP272" i="1"/>
  <c r="BR272" i="1"/>
  <c r="AP218" i="1"/>
  <c r="BR218" i="1"/>
  <c r="BR327" i="1"/>
  <c r="AP327" i="1"/>
  <c r="AP322" i="1"/>
  <c r="BR322" i="1"/>
  <c r="BR316" i="1"/>
  <c r="AP316" i="1"/>
  <c r="BR303" i="1"/>
  <c r="AP303" i="1"/>
  <c r="AU317" i="1"/>
  <c r="BX317" i="1"/>
  <c r="AU311" i="1"/>
  <c r="BX311" i="1"/>
  <c r="AP298" i="1"/>
  <c r="BR298" i="1"/>
  <c r="BR287" i="1"/>
  <c r="AP287" i="1"/>
  <c r="AU297" i="1"/>
  <c r="BX297" i="1"/>
  <c r="AU290" i="1"/>
  <c r="BX290" i="1"/>
  <c r="AU300" i="1"/>
  <c r="BX300" i="1"/>
  <c r="AU292" i="1"/>
  <c r="BX292" i="1"/>
  <c r="AU284" i="1"/>
  <c r="BX284" i="1"/>
  <c r="AP275" i="1"/>
  <c r="BR275" i="1"/>
  <c r="BR271" i="1"/>
  <c r="AP271" i="1"/>
  <c r="BR260" i="1"/>
  <c r="AP260" i="1"/>
  <c r="BR251" i="1"/>
  <c r="AP251" i="1"/>
  <c r="AP237" i="1"/>
  <c r="BR237" i="1"/>
  <c r="BX266" i="1"/>
  <c r="AU266" i="1"/>
  <c r="BX256" i="1"/>
  <c r="AU256" i="1"/>
  <c r="BX213" i="1"/>
  <c r="AU213" i="1"/>
  <c r="AU210" i="1"/>
  <c r="BX210" i="1"/>
  <c r="BR97" i="1"/>
  <c r="AP97" i="1"/>
  <c r="AU138" i="1"/>
  <c r="BX138" i="1"/>
  <c r="BX133" i="1"/>
  <c r="AU133" i="1"/>
  <c r="AU123" i="1"/>
  <c r="BX123" i="1"/>
  <c r="AU116" i="1"/>
  <c r="BX116" i="1"/>
  <c r="AU101" i="1"/>
  <c r="BX101" i="1"/>
  <c r="BR66" i="1"/>
  <c r="AP66" i="1"/>
  <c r="BR59" i="1"/>
  <c r="AP59" i="1"/>
  <c r="BR46" i="1"/>
  <c r="AP46" i="1"/>
  <c r="BR36" i="1"/>
  <c r="AP36" i="1"/>
  <c r="BX129" i="1"/>
  <c r="AU129" i="1"/>
  <c r="BR289" i="1"/>
  <c r="AP289" i="1"/>
  <c r="BX274" i="1"/>
  <c r="AU274" i="1"/>
  <c r="BX254" i="1"/>
  <c r="AU254" i="1"/>
  <c r="BX259" i="1"/>
  <c r="AU259" i="1"/>
  <c r="BX227" i="1"/>
  <c r="AU227" i="1"/>
  <c r="AP178" i="1"/>
  <c r="BR178" i="1"/>
  <c r="BX135" i="1"/>
  <c r="AU135" i="1"/>
  <c r="X328" i="1"/>
  <c r="BV137" i="1"/>
  <c r="AR137" i="1"/>
  <c r="BR95" i="1"/>
  <c r="AP95" i="1"/>
  <c r="AP92" i="1"/>
  <c r="BR92" i="1"/>
  <c r="BR90" i="1"/>
  <c r="AP90" i="1"/>
  <c r="BX54" i="1"/>
  <c r="AU54" i="1"/>
  <c r="BX26" i="1"/>
  <c r="AU26" i="1"/>
  <c r="BX23" i="1"/>
  <c r="AU23" i="1"/>
  <c r="BX20" i="1"/>
  <c r="AU20" i="1"/>
  <c r="BX11" i="1"/>
  <c r="AU11" i="1"/>
  <c r="BR82" i="1"/>
  <c r="AP82" i="1"/>
  <c r="BR302" i="1"/>
  <c r="AP302" i="1"/>
  <c r="AP312" i="1"/>
  <c r="BR312" i="1"/>
  <c r="AP304" i="1"/>
  <c r="BR304" i="1"/>
  <c r="BR220" i="1"/>
  <c r="AP220" i="1"/>
  <c r="AP206" i="1"/>
  <c r="BR206" i="1"/>
  <c r="AP201" i="1"/>
  <c r="BR201" i="1"/>
  <c r="BR182" i="1"/>
  <c r="AP182" i="1"/>
  <c r="BR158" i="1"/>
  <c r="AP158" i="1"/>
  <c r="BR145" i="1"/>
  <c r="AP145" i="1"/>
  <c r="BR143" i="1"/>
  <c r="AP143" i="1"/>
  <c r="BR130" i="1"/>
  <c r="AP130" i="1"/>
  <c r="BR117" i="1"/>
  <c r="AP117" i="1"/>
  <c r="BR114" i="1"/>
  <c r="AP114" i="1"/>
  <c r="BR100" i="1"/>
  <c r="AP100" i="1"/>
  <c r="AU229" i="1"/>
  <c r="BX229" i="1"/>
  <c r="AU200" i="1"/>
  <c r="BX200" i="1"/>
  <c r="AP153" i="1"/>
  <c r="BR153" i="1"/>
  <c r="BX160" i="1"/>
  <c r="AU160" i="1"/>
  <c r="BX170" i="1"/>
  <c r="AU170" i="1"/>
  <c r="AU148" i="1"/>
  <c r="BX148" i="1"/>
  <c r="AU136" i="1"/>
  <c r="BX136" i="1"/>
  <c r="AU122" i="1"/>
  <c r="BX122" i="1"/>
  <c r="BX103" i="1"/>
  <c r="AU103" i="1"/>
  <c r="BR86" i="1"/>
  <c r="AP86" i="1"/>
  <c r="BR83" i="1"/>
  <c r="AP83" i="1"/>
  <c r="AP80" i="1"/>
  <c r="BR80" i="1"/>
  <c r="BX65" i="1"/>
  <c r="AU65" i="1"/>
  <c r="BX64" i="1"/>
  <c r="AU64" i="1"/>
  <c r="AU30" i="1"/>
  <c r="BX30" i="1"/>
  <c r="AU13" i="1"/>
  <c r="BX13" i="1"/>
  <c r="CL10" i="1"/>
  <c r="AU10" i="1"/>
  <c r="BX10" i="1"/>
  <c r="BX88" i="1"/>
  <c r="AU88" i="1"/>
  <c r="AU61" i="1"/>
  <c r="BX61" i="1"/>
  <c r="AU28" i="1"/>
  <c r="BX28" i="1"/>
  <c r="BX25" i="1"/>
  <c r="AU25" i="1"/>
  <c r="AU21" i="1"/>
  <c r="BX21" i="1"/>
  <c r="BX15" i="1"/>
  <c r="AU15" i="1"/>
  <c r="BR283" i="1"/>
  <c r="AP283" i="1"/>
  <c r="AP273" i="1"/>
  <c r="BR273" i="1"/>
  <c r="AP265" i="1"/>
  <c r="BR265" i="1"/>
  <c r="BR246" i="1"/>
  <c r="AP246" i="1"/>
  <c r="AP224" i="1"/>
  <c r="BR224" i="1"/>
  <c r="AP217" i="1"/>
  <c r="BR217" i="1"/>
  <c r="BR183" i="1"/>
  <c r="AP183" i="1"/>
  <c r="BR156" i="1"/>
  <c r="AP156" i="1"/>
  <c r="BR147" i="1"/>
  <c r="AP147" i="1"/>
  <c r="BR144" i="1"/>
  <c r="AP144" i="1"/>
  <c r="BR131" i="1"/>
  <c r="AP131" i="1"/>
  <c r="BR119" i="1"/>
  <c r="AP119" i="1"/>
  <c r="BR115" i="1"/>
  <c r="AP115" i="1"/>
  <c r="BR47" i="1"/>
  <c r="AP47" i="1"/>
  <c r="BR19" i="1"/>
  <c r="AP19" i="1"/>
  <c r="BR17" i="1"/>
  <c r="AP17" i="1"/>
  <c r="S7" i="1"/>
  <c r="AU124" i="1"/>
  <c r="BX124" i="1"/>
  <c r="AU105" i="1"/>
  <c r="BX105" i="1"/>
  <c r="BR85" i="1"/>
  <c r="AP85" i="1"/>
  <c r="AU62" i="1"/>
  <c r="BX62" i="1"/>
  <c r="BX37" i="1"/>
  <c r="AU37" i="1"/>
  <c r="AU70" i="1"/>
  <c r="BX70" i="1"/>
  <c r="BR324" i="1"/>
  <c r="AP324" i="1"/>
  <c r="BR314" i="1"/>
  <c r="AP314" i="1"/>
  <c r="BR295" i="1"/>
  <c r="AP295" i="1"/>
  <c r="BR291" i="1"/>
  <c r="AP291" i="1"/>
  <c r="AP255" i="1"/>
  <c r="BR255" i="1"/>
  <c r="BR244" i="1"/>
  <c r="AP244" i="1"/>
  <c r="AU262" i="1"/>
  <c r="BX262" i="1"/>
  <c r="BR223" i="1"/>
  <c r="AP223" i="1"/>
  <c r="BX222" i="1"/>
  <c r="AU222" i="1"/>
  <c r="BX207" i="1"/>
  <c r="AU207" i="1"/>
  <c r="BR75" i="1"/>
  <c r="AP75" i="1"/>
  <c r="BR71" i="1"/>
  <c r="AP71" i="1"/>
  <c r="AP53" i="1"/>
  <c r="BR53" i="1"/>
  <c r="BR48" i="1"/>
  <c r="AP48" i="1"/>
  <c r="BR41" i="1"/>
  <c r="AP41" i="1"/>
  <c r="BR31" i="1"/>
  <c r="AP31" i="1"/>
  <c r="BR18" i="1"/>
  <c r="AP18" i="1"/>
  <c r="BX141" i="1"/>
  <c r="AU141" i="1"/>
  <c r="BX118" i="1"/>
  <c r="AU118" i="1"/>
  <c r="BR89" i="1"/>
  <c r="AP89" i="1"/>
  <c r="BX58" i="1"/>
  <c r="AU58" i="1"/>
  <c r="AU55" i="1"/>
  <c r="BX55" i="1"/>
  <c r="AU52" i="1"/>
  <c r="BX52" i="1"/>
  <c r="BV44" i="1"/>
  <c r="AR44" i="1"/>
  <c r="BX44" i="1" s="1"/>
  <c r="BX67" i="1"/>
  <c r="AU67" i="1"/>
  <c r="AR326" i="1"/>
  <c r="BV326" i="1"/>
  <c r="AP323" i="1"/>
  <c r="BR323" i="1"/>
  <c r="BR321" i="1"/>
  <c r="AP321" i="1"/>
  <c r="AU313" i="1"/>
  <c r="BX313" i="1"/>
  <c r="AU310" i="1"/>
  <c r="BX310" i="1"/>
  <c r="BR296" i="1"/>
  <c r="AP296" i="1"/>
  <c r="BR293" i="1"/>
  <c r="AP293" i="1"/>
  <c r="BR285" i="1"/>
  <c r="AP285" i="1"/>
  <c r="AU286" i="1"/>
  <c r="BX286" i="1"/>
  <c r="BX264" i="1"/>
  <c r="AU264" i="1"/>
  <c r="BX236" i="1"/>
  <c r="AU236" i="1"/>
  <c r="AP234" i="1"/>
  <c r="BR234" i="1"/>
  <c r="BX216" i="1"/>
  <c r="AU216" i="1"/>
  <c r="BX192" i="1"/>
  <c r="AU192" i="1"/>
  <c r="BX180" i="1"/>
  <c r="AU180" i="1"/>
  <c r="BR176" i="1"/>
  <c r="AP176" i="1"/>
  <c r="BJ174" i="1"/>
  <c r="BQ174" i="1" s="1"/>
  <c r="AL174" i="1"/>
  <c r="AE174" i="1"/>
  <c r="BX157" i="1"/>
  <c r="AU157" i="1"/>
  <c r="Z328" i="1"/>
  <c r="AC8" i="1"/>
  <c r="Z7" i="1"/>
  <c r="AU166" i="1"/>
  <c r="BX166" i="1"/>
  <c r="AU69" i="1"/>
  <c r="BX69" i="1"/>
  <c r="AU43" i="1"/>
  <c r="BX43" i="1"/>
  <c r="AU33" i="1"/>
  <c r="BX33" i="1"/>
  <c r="AU63" i="1"/>
  <c r="BX63" i="1"/>
  <c r="AU9" i="1"/>
  <c r="BX9" i="1"/>
  <c r="BX325" i="1"/>
  <c r="AU325" i="1"/>
  <c r="BJ306" i="1"/>
  <c r="BQ304" i="1"/>
  <c r="BX294" i="1"/>
  <c r="AU294" i="1"/>
  <c r="BX301" i="1"/>
  <c r="AU301" i="1"/>
  <c r="BX299" i="1"/>
  <c r="AU299" i="1"/>
  <c r="BX277" i="1"/>
  <c r="AU277" i="1"/>
  <c r="BX257" i="1"/>
  <c r="AU257" i="1"/>
  <c r="BR214" i="1"/>
  <c r="AP214" i="1"/>
  <c r="AP204" i="1"/>
  <c r="BR204" i="1"/>
  <c r="AP197" i="1"/>
  <c r="BR197" i="1"/>
  <c r="BR191" i="1"/>
  <c r="AP191" i="1"/>
  <c r="BR186" i="1"/>
  <c r="AP186" i="1"/>
  <c r="AU230" i="1"/>
  <c r="BX230" i="1"/>
  <c r="BR171" i="1"/>
  <c r="AP171" i="1"/>
  <c r="BR165" i="1"/>
  <c r="AP165" i="1"/>
  <c r="BR149" i="1"/>
  <c r="AP149" i="1"/>
  <c r="AP134" i="1"/>
  <c r="BR134" i="1"/>
  <c r="BR110" i="1"/>
  <c r="AP110" i="1"/>
  <c r="BR104" i="1"/>
  <c r="AP104" i="1"/>
  <c r="BX140" i="1"/>
  <c r="AU140" i="1"/>
  <c r="AP77" i="1"/>
  <c r="BR77" i="1"/>
  <c r="BX84" i="1"/>
  <c r="AU84" i="1"/>
  <c r="BR315" i="1"/>
  <c r="AP315" i="1"/>
  <c r="AR278" i="1"/>
  <c r="BV278" i="1"/>
  <c r="AU288" i="1"/>
  <c r="BX288" i="1"/>
  <c r="BR268" i="1"/>
  <c r="AP268" i="1"/>
  <c r="AP263" i="1"/>
  <c r="BR263" i="1"/>
  <c r="BR258" i="1"/>
  <c r="AP258" i="1"/>
  <c r="AP253" i="1"/>
  <c r="BR253" i="1"/>
  <c r="BR238" i="1"/>
  <c r="AP238" i="1"/>
  <c r="AU250" i="1"/>
  <c r="BX250" i="1"/>
  <c r="AP228" i="1"/>
  <c r="BR228" i="1"/>
  <c r="AP221" i="1"/>
  <c r="BR221" i="1"/>
  <c r="AP209" i="1"/>
  <c r="BR209" i="1"/>
  <c r="AP179" i="1"/>
  <c r="BR179" i="1"/>
  <c r="BR177" i="1"/>
  <c r="AP177" i="1"/>
  <c r="BR167" i="1"/>
  <c r="AP167" i="1"/>
  <c r="BR161" i="1"/>
  <c r="AP161" i="1"/>
  <c r="BR142" i="1"/>
  <c r="AP142" i="1"/>
  <c r="BR111" i="1"/>
  <c r="AP111" i="1"/>
  <c r="BR106" i="1"/>
  <c r="AP106" i="1"/>
  <c r="BR102" i="1"/>
  <c r="AP102" i="1"/>
  <c r="AU196" i="1"/>
  <c r="BX196" i="1"/>
  <c r="AU181" i="1"/>
  <c r="BX181" i="1"/>
  <c r="AU175" i="1"/>
  <c r="BX175" i="1"/>
  <c r="AU146" i="1"/>
  <c r="BX146" i="1"/>
  <c r="AU125" i="1"/>
  <c r="BX125" i="1"/>
  <c r="BR74" i="1"/>
  <c r="AP74" i="1"/>
  <c r="BR68" i="1"/>
  <c r="AP68" i="1"/>
  <c r="AP60" i="1"/>
  <c r="BR60" i="1"/>
  <c r="BR57" i="1"/>
  <c r="AP57" i="1"/>
  <c r="BR45" i="1"/>
  <c r="AP45" i="1"/>
  <c r="BR38" i="1"/>
  <c r="AP38" i="1"/>
  <c r="BR24" i="1"/>
  <c r="AP24" i="1"/>
  <c r="BR14" i="1"/>
  <c r="AP14" i="1"/>
  <c r="BX154" i="1"/>
  <c r="AU154" i="1"/>
  <c r="BX150" i="1"/>
  <c r="AU150" i="1"/>
  <c r="BR79" i="1"/>
  <c r="AP79" i="1"/>
  <c r="BQ276" i="1" l="1"/>
  <c r="AR282" i="1"/>
  <c r="BV282" i="1"/>
  <c r="AR281" i="1"/>
  <c r="BV281" i="1"/>
  <c r="AR93" i="1"/>
  <c r="BV93" i="1"/>
  <c r="BX318" i="1"/>
  <c r="AU318" i="1"/>
  <c r="BV94" i="1"/>
  <c r="AR94" i="1"/>
  <c r="BV218" i="1"/>
  <c r="AR218" i="1"/>
  <c r="AR272" i="1"/>
  <c r="BV272" i="1"/>
  <c r="AR81" i="1"/>
  <c r="BV81" i="1"/>
  <c r="BL7" i="1"/>
  <c r="AR276" i="1"/>
  <c r="BV276" i="1"/>
  <c r="BV212" i="1"/>
  <c r="AR212" i="1"/>
  <c r="AR279" i="1"/>
  <c r="BX279" i="1" s="1"/>
  <c r="BV279" i="1"/>
  <c r="BV139" i="1"/>
  <c r="AR139" i="1"/>
  <c r="BV211" i="1"/>
  <c r="AR211" i="1"/>
  <c r="BX211" i="1" s="1"/>
  <c r="BV215" i="1"/>
  <c r="AR215" i="1"/>
  <c r="BV219" i="1"/>
  <c r="AR219" i="1"/>
  <c r="AR24" i="1"/>
  <c r="BV24" i="1"/>
  <c r="AR45" i="1"/>
  <c r="BV45" i="1"/>
  <c r="BV74" i="1"/>
  <c r="AR74" i="1"/>
  <c r="BX74" i="1" s="1"/>
  <c r="BV106" i="1"/>
  <c r="AR106" i="1"/>
  <c r="BX106" i="1" s="1"/>
  <c r="AR142" i="1"/>
  <c r="BV142" i="1"/>
  <c r="BV167" i="1"/>
  <c r="AR167" i="1"/>
  <c r="BX167" i="1" s="1"/>
  <c r="AR258" i="1"/>
  <c r="BV258" i="1"/>
  <c r="AR315" i="1"/>
  <c r="BV315" i="1"/>
  <c r="AR104" i="1"/>
  <c r="BV104" i="1"/>
  <c r="AR165" i="1"/>
  <c r="BV165" i="1"/>
  <c r="BV171" i="1"/>
  <c r="AR171" i="1"/>
  <c r="BX171" i="1" s="1"/>
  <c r="BV186" i="1"/>
  <c r="AR186" i="1"/>
  <c r="BX186" i="1" s="1"/>
  <c r="AR214" i="1"/>
  <c r="BV214" i="1"/>
  <c r="BV60" i="1"/>
  <c r="AR60" i="1"/>
  <c r="BV179" i="1"/>
  <c r="AR179" i="1"/>
  <c r="BV209" i="1"/>
  <c r="AR209" i="1"/>
  <c r="BV221" i="1"/>
  <c r="AR221" i="1"/>
  <c r="BV228" i="1"/>
  <c r="AR228" i="1"/>
  <c r="BV253" i="1"/>
  <c r="AR253" i="1"/>
  <c r="BV263" i="1"/>
  <c r="AR263" i="1"/>
  <c r="BX278" i="1"/>
  <c r="AU278" i="1"/>
  <c r="BV77" i="1"/>
  <c r="AR77" i="1"/>
  <c r="BV134" i="1"/>
  <c r="AR134" i="1"/>
  <c r="BV197" i="1"/>
  <c r="AR197" i="1"/>
  <c r="BV204" i="1"/>
  <c r="AR204" i="1"/>
  <c r="BQ306" i="1"/>
  <c r="AC306" i="1"/>
  <c r="AC332" i="1"/>
  <c r="AC328" i="1"/>
  <c r="BJ8" i="1"/>
  <c r="BJ328" i="1" s="1"/>
  <c r="AL8" i="1"/>
  <c r="AC7" i="1"/>
  <c r="AE8" i="1"/>
  <c r="BV234" i="1"/>
  <c r="AR234" i="1"/>
  <c r="BX234" i="1" s="1"/>
  <c r="BV323" i="1"/>
  <c r="AR323" i="1"/>
  <c r="BX326" i="1"/>
  <c r="AU326" i="1"/>
  <c r="BV53" i="1"/>
  <c r="AR53" i="1"/>
  <c r="BV255" i="1"/>
  <c r="AR255" i="1"/>
  <c r="BV17" i="1"/>
  <c r="AR17" i="1"/>
  <c r="BX17" i="1" s="1"/>
  <c r="AR19" i="1"/>
  <c r="BV19" i="1"/>
  <c r="AR47" i="1"/>
  <c r="BV47" i="1"/>
  <c r="AR115" i="1"/>
  <c r="BV115" i="1"/>
  <c r="BV119" i="1"/>
  <c r="AR119" i="1"/>
  <c r="AR131" i="1"/>
  <c r="BV131" i="1"/>
  <c r="AR144" i="1"/>
  <c r="BV144" i="1"/>
  <c r="BV147" i="1"/>
  <c r="AR147" i="1"/>
  <c r="AR156" i="1"/>
  <c r="BV156" i="1"/>
  <c r="BV183" i="1"/>
  <c r="AR183" i="1"/>
  <c r="BV246" i="1"/>
  <c r="AR246" i="1"/>
  <c r="BX246" i="1" s="1"/>
  <c r="AR283" i="1"/>
  <c r="BV283" i="1"/>
  <c r="CL328" i="1"/>
  <c r="CL7" i="1"/>
  <c r="BV80" i="1"/>
  <c r="AR80" i="1"/>
  <c r="BV153" i="1"/>
  <c r="AR153" i="1"/>
  <c r="BV201" i="1"/>
  <c r="AR201" i="1"/>
  <c r="BV206" i="1"/>
  <c r="AR206" i="1"/>
  <c r="BV304" i="1"/>
  <c r="AR304" i="1"/>
  <c r="BV312" i="1"/>
  <c r="AR312" i="1"/>
  <c r="BV92" i="1"/>
  <c r="AR92" i="1"/>
  <c r="AR289" i="1"/>
  <c r="BV289" i="1"/>
  <c r="AR36" i="1"/>
  <c r="BV36" i="1"/>
  <c r="AR46" i="1"/>
  <c r="BV46" i="1"/>
  <c r="BV59" i="1"/>
  <c r="AR59" i="1"/>
  <c r="BV66" i="1"/>
  <c r="AR66" i="1"/>
  <c r="BV97" i="1"/>
  <c r="AR97" i="1"/>
  <c r="BV251" i="1"/>
  <c r="AR251" i="1"/>
  <c r="BV260" i="1"/>
  <c r="AR260" i="1"/>
  <c r="AR271" i="1"/>
  <c r="BV271" i="1"/>
  <c r="AR287" i="1"/>
  <c r="BV287" i="1"/>
  <c r="AR303" i="1"/>
  <c r="BV303" i="1"/>
  <c r="AR316" i="1"/>
  <c r="BV316" i="1"/>
  <c r="BV327" i="1"/>
  <c r="AR327" i="1"/>
  <c r="BX327" i="1" s="1"/>
  <c r="BV79" i="1"/>
  <c r="AR79" i="1"/>
  <c r="BX79" i="1" s="1"/>
  <c r="BV14" i="1"/>
  <c r="AR14" i="1"/>
  <c r="BX14" i="1" s="1"/>
  <c r="BV38" i="1"/>
  <c r="AR38" i="1"/>
  <c r="BX38" i="1" s="1"/>
  <c r="AR57" i="1"/>
  <c r="BV57" i="1"/>
  <c r="BV68" i="1"/>
  <c r="AR68" i="1"/>
  <c r="AR102" i="1"/>
  <c r="BV102" i="1"/>
  <c r="AR111" i="1"/>
  <c r="BV111" i="1"/>
  <c r="AR161" i="1"/>
  <c r="BV161" i="1"/>
  <c r="AR177" i="1"/>
  <c r="BV177" i="1"/>
  <c r="BV238" i="1"/>
  <c r="AR238" i="1"/>
  <c r="BV268" i="1"/>
  <c r="AR268" i="1"/>
  <c r="BX268" i="1" s="1"/>
  <c r="BV110" i="1"/>
  <c r="AR110" i="1"/>
  <c r="BX110" i="1" s="1"/>
  <c r="BV149" i="1"/>
  <c r="AR149" i="1"/>
  <c r="AR191" i="1"/>
  <c r="BV191" i="1"/>
  <c r="BR174" i="1"/>
  <c r="AP174" i="1"/>
  <c r="BV176" i="1"/>
  <c r="AR176" i="1"/>
  <c r="AR285" i="1"/>
  <c r="BV285" i="1"/>
  <c r="AR293" i="1"/>
  <c r="BV293" i="1"/>
  <c r="BV296" i="1"/>
  <c r="AR296" i="1"/>
  <c r="BV321" i="1"/>
  <c r="AR321" i="1"/>
  <c r="BV89" i="1"/>
  <c r="AR89" i="1"/>
  <c r="BV18" i="1"/>
  <c r="AR18" i="1"/>
  <c r="AR31" i="1"/>
  <c r="BV31" i="1"/>
  <c r="AR41" i="1"/>
  <c r="BV41" i="1"/>
  <c r="AR48" i="1"/>
  <c r="BV48" i="1"/>
  <c r="BV71" i="1"/>
  <c r="AR71" i="1"/>
  <c r="AR75" i="1"/>
  <c r="BV75" i="1"/>
  <c r="BV223" i="1"/>
  <c r="AR223" i="1"/>
  <c r="BX223" i="1" s="1"/>
  <c r="BV244" i="1"/>
  <c r="AR244" i="1"/>
  <c r="BX244" i="1" s="1"/>
  <c r="AR291" i="1"/>
  <c r="BV291" i="1"/>
  <c r="BV295" i="1"/>
  <c r="AR295" i="1"/>
  <c r="AR314" i="1"/>
  <c r="BV314" i="1"/>
  <c r="BV324" i="1"/>
  <c r="AR324" i="1"/>
  <c r="BV85" i="1"/>
  <c r="AR85" i="1"/>
  <c r="BV217" i="1"/>
  <c r="AR217" i="1"/>
  <c r="BV224" i="1"/>
  <c r="AR224" i="1"/>
  <c r="BV265" i="1"/>
  <c r="AR265" i="1"/>
  <c r="BV273" i="1"/>
  <c r="AR273" i="1"/>
  <c r="AR83" i="1"/>
  <c r="BV83" i="1"/>
  <c r="BV86" i="1"/>
  <c r="AR86" i="1"/>
  <c r="AR100" i="1"/>
  <c r="BV100" i="1"/>
  <c r="BV114" i="1"/>
  <c r="AR114" i="1"/>
  <c r="BX114" i="1" s="1"/>
  <c r="AR117" i="1"/>
  <c r="BV117" i="1"/>
  <c r="BV130" i="1"/>
  <c r="AR130" i="1"/>
  <c r="BX130" i="1" s="1"/>
  <c r="BV143" i="1"/>
  <c r="AR143" i="1"/>
  <c r="AR145" i="1"/>
  <c r="BV145" i="1"/>
  <c r="AR158" i="1"/>
  <c r="BV158" i="1"/>
  <c r="BV182" i="1"/>
  <c r="AR182" i="1"/>
  <c r="BV220" i="1"/>
  <c r="AR220" i="1"/>
  <c r="AR302" i="1"/>
  <c r="BV302" i="1"/>
  <c r="BV82" i="1"/>
  <c r="AR82" i="1"/>
  <c r="AR90" i="1"/>
  <c r="BV90" i="1"/>
  <c r="AR95" i="1"/>
  <c r="BV95" i="1"/>
  <c r="AU137" i="1"/>
  <c r="BX137" i="1"/>
  <c r="BV178" i="1"/>
  <c r="AR178" i="1"/>
  <c r="BV237" i="1"/>
  <c r="AR237" i="1"/>
  <c r="BV275" i="1"/>
  <c r="AR275" i="1"/>
  <c r="BV298" i="1"/>
  <c r="AR298" i="1"/>
  <c r="BV322" i="1"/>
  <c r="AR322" i="1"/>
  <c r="AU219" i="1" l="1"/>
  <c r="BX219" i="1"/>
  <c r="AU215" i="1"/>
  <c r="BX215" i="1"/>
  <c r="BX139" i="1"/>
  <c r="AU139" i="1"/>
  <c r="AU212" i="1"/>
  <c r="BX212" i="1"/>
  <c r="BX218" i="1"/>
  <c r="AU218" i="1"/>
  <c r="BX94" i="1"/>
  <c r="AU94" i="1"/>
  <c r="AU276" i="1"/>
  <c r="BX276" i="1"/>
  <c r="BX81" i="1"/>
  <c r="AU81" i="1"/>
  <c r="AU272" i="1"/>
  <c r="BX272" i="1"/>
  <c r="BX93" i="1"/>
  <c r="AU93" i="1"/>
  <c r="AU281" i="1"/>
  <c r="BX281" i="1"/>
  <c r="AU282" i="1"/>
  <c r="BX282" i="1"/>
  <c r="AU322" i="1"/>
  <c r="BX322" i="1"/>
  <c r="AU298" i="1"/>
  <c r="BX298" i="1"/>
  <c r="AU275" i="1"/>
  <c r="BX275" i="1"/>
  <c r="AU237" i="1"/>
  <c r="BX237" i="1"/>
  <c r="AU178" i="1"/>
  <c r="BX178" i="1"/>
  <c r="BX82" i="1"/>
  <c r="AU82" i="1"/>
  <c r="BX220" i="1"/>
  <c r="AU220" i="1"/>
  <c r="BX182" i="1"/>
  <c r="AU182" i="1"/>
  <c r="BX143" i="1"/>
  <c r="AU143" i="1"/>
  <c r="BX86" i="1"/>
  <c r="AU86" i="1"/>
  <c r="AU273" i="1"/>
  <c r="BX273" i="1"/>
  <c r="BX265" i="1"/>
  <c r="AU265" i="1"/>
  <c r="AU224" i="1"/>
  <c r="BX224" i="1"/>
  <c r="AU217" i="1"/>
  <c r="BX217" i="1"/>
  <c r="BX85" i="1"/>
  <c r="AU85" i="1"/>
  <c r="BX324" i="1"/>
  <c r="AU324" i="1"/>
  <c r="BX295" i="1"/>
  <c r="AU295" i="1"/>
  <c r="AU71" i="1"/>
  <c r="BX71" i="1"/>
  <c r="AU18" i="1"/>
  <c r="BX18" i="1"/>
  <c r="AU89" i="1"/>
  <c r="BX89" i="1"/>
  <c r="BX321" i="1"/>
  <c r="AU321" i="1"/>
  <c r="BX296" i="1"/>
  <c r="AU296" i="1"/>
  <c r="AU176" i="1"/>
  <c r="BX176" i="1"/>
  <c r="AR174" i="1"/>
  <c r="BV174" i="1"/>
  <c r="BX149" i="1"/>
  <c r="AU149" i="1"/>
  <c r="BX238" i="1"/>
  <c r="AU238" i="1"/>
  <c r="BX68" i="1"/>
  <c r="AU68" i="1"/>
  <c r="BX260" i="1"/>
  <c r="AU260" i="1"/>
  <c r="BX251" i="1"/>
  <c r="AU251" i="1"/>
  <c r="AU97" i="1"/>
  <c r="BX97" i="1"/>
  <c r="BX66" i="1"/>
  <c r="AU66" i="1"/>
  <c r="BX59" i="1"/>
  <c r="AU59" i="1"/>
  <c r="AU92" i="1"/>
  <c r="BX92" i="1"/>
  <c r="AU312" i="1"/>
  <c r="BX312" i="1"/>
  <c r="BX304" i="1"/>
  <c r="AU304" i="1"/>
  <c r="AU206" i="1"/>
  <c r="BX206" i="1"/>
  <c r="AU201" i="1"/>
  <c r="BX201" i="1"/>
  <c r="BX153" i="1"/>
  <c r="AU153" i="1"/>
  <c r="AU80" i="1"/>
  <c r="BX80" i="1"/>
  <c r="BX183" i="1"/>
  <c r="AU183" i="1"/>
  <c r="BX147" i="1"/>
  <c r="AU147" i="1"/>
  <c r="BX119" i="1"/>
  <c r="AU119" i="1"/>
  <c r="AU255" i="1"/>
  <c r="BX255" i="1"/>
  <c r="AU53" i="1"/>
  <c r="BX53" i="1"/>
  <c r="AU323" i="1"/>
  <c r="BX323" i="1"/>
  <c r="BR8" i="1"/>
  <c r="BR328" i="1" s="1"/>
  <c r="AP8" i="1"/>
  <c r="AE306" i="1"/>
  <c r="AE328" i="1" s="1"/>
  <c r="AL306" i="1"/>
  <c r="BR306" i="1" s="1"/>
  <c r="AC334" i="1"/>
  <c r="AC336" i="1" s="1"/>
  <c r="AU204" i="1"/>
  <c r="BX204" i="1"/>
  <c r="AU197" i="1"/>
  <c r="BX197" i="1"/>
  <c r="AU134" i="1"/>
  <c r="BX134" i="1"/>
  <c r="AU77" i="1"/>
  <c r="BX77" i="1"/>
  <c r="AU263" i="1"/>
  <c r="BX263" i="1"/>
  <c r="AU253" i="1"/>
  <c r="BX253" i="1"/>
  <c r="AU228" i="1"/>
  <c r="BX228" i="1"/>
  <c r="AU221" i="1"/>
  <c r="BX221" i="1"/>
  <c r="AU209" i="1"/>
  <c r="BX209" i="1"/>
  <c r="AU179" i="1"/>
  <c r="BX179" i="1"/>
  <c r="AU60" i="1"/>
  <c r="BX60" i="1"/>
  <c r="BX95" i="1"/>
  <c r="AU95" i="1"/>
  <c r="BX90" i="1"/>
  <c r="AU90" i="1"/>
  <c r="BX302" i="1"/>
  <c r="AU302" i="1"/>
  <c r="BX158" i="1"/>
  <c r="AU158" i="1"/>
  <c r="BX145" i="1"/>
  <c r="AU145" i="1"/>
  <c r="BX117" i="1"/>
  <c r="AU117" i="1"/>
  <c r="BX100" i="1"/>
  <c r="AU100" i="1"/>
  <c r="BX83" i="1"/>
  <c r="AU83" i="1"/>
  <c r="BX314" i="1"/>
  <c r="AU314" i="1"/>
  <c r="BX291" i="1"/>
  <c r="AU291" i="1"/>
  <c r="BX75" i="1"/>
  <c r="AU75" i="1"/>
  <c r="BX48" i="1"/>
  <c r="AU48" i="1"/>
  <c r="BX41" i="1"/>
  <c r="AU41" i="1"/>
  <c r="BX31" i="1"/>
  <c r="AU31" i="1"/>
  <c r="BX293" i="1"/>
  <c r="AU293" i="1"/>
  <c r="BX285" i="1"/>
  <c r="AU285" i="1"/>
  <c r="BX191" i="1"/>
  <c r="AU191" i="1"/>
  <c r="BX177" i="1"/>
  <c r="AU177" i="1"/>
  <c r="BX161" i="1"/>
  <c r="AU161" i="1"/>
  <c r="BX111" i="1"/>
  <c r="AU111" i="1"/>
  <c r="BX102" i="1"/>
  <c r="AU102" i="1"/>
  <c r="BX57" i="1"/>
  <c r="AU57" i="1"/>
  <c r="BX316" i="1"/>
  <c r="AU316" i="1"/>
  <c r="BX303" i="1"/>
  <c r="AU303" i="1"/>
  <c r="BX287" i="1"/>
  <c r="AU287" i="1"/>
  <c r="BX271" i="1"/>
  <c r="AU271" i="1"/>
  <c r="BX46" i="1"/>
  <c r="AU46" i="1"/>
  <c r="BX36" i="1"/>
  <c r="AU36" i="1"/>
  <c r="BX289" i="1"/>
  <c r="AU289" i="1"/>
  <c r="BX283" i="1"/>
  <c r="AU283" i="1"/>
  <c r="BX156" i="1"/>
  <c r="AU156" i="1"/>
  <c r="BX144" i="1"/>
  <c r="AU144" i="1"/>
  <c r="BX131" i="1"/>
  <c r="AU131" i="1"/>
  <c r="BX115" i="1"/>
  <c r="AU115" i="1"/>
  <c r="BX47" i="1"/>
  <c r="AU47" i="1"/>
  <c r="BX19" i="1"/>
  <c r="AU19" i="1"/>
  <c r="BQ8" i="1"/>
  <c r="BQ328" i="1" s="1"/>
  <c r="BJ7" i="1"/>
  <c r="BX214" i="1"/>
  <c r="AU214" i="1"/>
  <c r="BX165" i="1"/>
  <c r="AU165" i="1"/>
  <c r="BX104" i="1"/>
  <c r="AU104" i="1"/>
  <c r="BX315" i="1"/>
  <c r="AU315" i="1"/>
  <c r="BX258" i="1"/>
  <c r="AU258" i="1"/>
  <c r="BX142" i="1"/>
  <c r="AU142" i="1"/>
  <c r="BX45" i="1"/>
  <c r="AU45" i="1"/>
  <c r="BX24" i="1"/>
  <c r="AU24" i="1"/>
  <c r="AL7" i="1" l="1"/>
  <c r="BR7" i="1"/>
  <c r="AE7" i="1"/>
  <c r="BQ7" i="1"/>
  <c r="AP328" i="1"/>
  <c r="AR8" i="1"/>
  <c r="BV8" i="1"/>
  <c r="BV328" i="1" s="1"/>
  <c r="AP7" i="1"/>
  <c r="AL328" i="1"/>
  <c r="BX174" i="1"/>
  <c r="AU174" i="1"/>
  <c r="AR328" i="1" l="1"/>
  <c r="BX8" i="1"/>
  <c r="BX328" i="1" s="1"/>
  <c r="AU8" i="1"/>
  <c r="AR7" i="1"/>
  <c r="BV7" i="1"/>
  <c r="BX7" i="1" l="1"/>
  <c r="AU328" i="1"/>
  <c r="AU7" i="1"/>
</calcChain>
</file>

<file path=xl/comments1.xml><?xml version="1.0" encoding="utf-8"?>
<comments xmlns="http://schemas.openxmlformats.org/spreadsheetml/2006/main">
  <authors>
    <author>Надежда Ю. Созинова</author>
  </authors>
  <commentList>
    <comment ref="Z147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35376,1 перенесен на Адышево
</t>
        </r>
      </text>
    </comment>
    <comment ref="Z181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25254,4 перенесен на Адышево
</t>
        </r>
      </text>
    </comment>
    <comment ref="Z258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56875,88 перенесен на Адышево
 </t>
        </r>
      </text>
    </comment>
    <comment ref="Z262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56875,88 перенесен на Адышево
</t>
        </r>
      </text>
    </comment>
    <comment ref="Z271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перенесен на Адышево
</t>
        </r>
      </text>
    </comment>
    <comment ref="Z294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532354,75 перенесен на Адышево
</t>
        </r>
      </text>
    </comment>
  </commentList>
</comments>
</file>

<file path=xl/sharedStrings.xml><?xml version="1.0" encoding="utf-8"?>
<sst xmlns="http://schemas.openxmlformats.org/spreadsheetml/2006/main" count="1816" uniqueCount="535">
  <si>
    <t>Расчет лимита льготного краткосрочного кредита заемщикам, претендующим на получение льготного краткосрочного кредита в 2019 году</t>
  </si>
  <si>
    <t>ключ.ст.7,5%</t>
  </si>
  <si>
    <t>количество заемщиков</t>
  </si>
  <si>
    <t>№ п/п</t>
  </si>
  <si>
    <t>Наименование заемщика</t>
  </si>
  <si>
    <t>ИНН заемщика</t>
  </si>
  <si>
    <t>Направление  использования кредита</t>
  </si>
  <si>
    <t>Относится к малым формам (да /нет)</t>
  </si>
  <si>
    <t>Планируемый месяц получения кредита</t>
  </si>
  <si>
    <t>Скорректированный месяц получения кредита</t>
  </si>
  <si>
    <t>Сумма льготного краткосрочного кредита, заявленная в Прогнозе на 2019 год, руб.</t>
  </si>
  <si>
    <t>уточнение кол-ва месяцев</t>
  </si>
  <si>
    <t>Требуемая сумма субсидий по заявленным льготным краткосрочным кредитам, руб.</t>
  </si>
  <si>
    <t>Сумма льготного краткосрочного кредита относительно Плана льготного кредитования 950863310/158019206,25=0,606656…. И затем поститали в каком размере мы можем выдать кредит каждому заемщику в пределах Плана льготного кредитования, тоесть 2 355 160 179,03</t>
  </si>
  <si>
    <t>Лимит субсидий, установленный Планом льготного  кредитования МСХ РФ (без кредитов, принятых к субсидированию в 2018 году) на 17.01.2019, руб.</t>
  </si>
  <si>
    <t>Недостающая сумма лимита субсидий, установленного Планом МСХ РФ к требуемой сумме субсидий, руб.</t>
  </si>
  <si>
    <t>Коэффициент корректировки лимита субсидий, установленного Планом льготного  кредитования МСХ РФ к требуемой сумме субсидий по заявленным льготным краткосрочным кредитам, руб.</t>
  </si>
  <si>
    <t>Январь кредит. Кредиты одобренные комиссией в январе</t>
  </si>
  <si>
    <t>Использовано субсидий в январе (протокол от 28.01.2019)</t>
  </si>
  <si>
    <t>Лимит льготного краткосрочного кредита (максимальная сумма) по заемщикам Кировской области, претендующим на получение льготного краткосрочного кредита в 2019 году с учетом коэффициента корректировки, руб.(2 335 160 179,03-643240000=1 711 920 179,03)</t>
  </si>
  <si>
    <r>
      <t xml:space="preserve">Сумма субсидии по заемщикам Кировской области, претендующим на получение льготного краткосрочного кредита в 2019 году с учетом коэффициента корректировки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руб.(95 863 310-37 351 540=58511770)</t>
    </r>
  </si>
  <si>
    <r>
      <t xml:space="preserve">Максимальная сумма кредита по заемщикам,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</t>
    </r>
  </si>
  <si>
    <t>Максимальная сумма субсидий по заемщикам с учетом коэффициента корректировки на 2019 год, руб.</t>
  </si>
  <si>
    <t>Использовано субсидий в феврале (протокол от 11.02.2019)</t>
  </si>
  <si>
    <t>Использовано субсидий в феврале (протокол от 25.02.2019)</t>
  </si>
  <si>
    <t>Остаток суммы субсидии по заемщикам на 01.04.2019 год, руб.</t>
  </si>
  <si>
    <t>Остаток суммы кредита по заемщикам на 2019 год,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</si>
  <si>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марте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</si>
  <si>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Использовано субсидий (протокол от 01.04.2019)</t>
  </si>
  <si>
    <t>ОТКАЗ от получения льготного кредита в сумме субсидий, рублей</t>
  </si>
  <si>
    <t>Использовано субсидий (протокол от 08.04.2019)</t>
  </si>
  <si>
    <t>Использовано субсидий (протокол от 15.04.2019)</t>
  </si>
  <si>
    <t>Использовано субсидий (протокол от 22.04.2019)</t>
  </si>
  <si>
    <t>Использовано субсидий (протокол от 29.04.2019)</t>
  </si>
  <si>
    <t>Остаток субсидии  на 01.05.2019</t>
  </si>
  <si>
    <t>Использовано субсидий (протокол от 06.05.2019)</t>
  </si>
  <si>
    <t>Использовано субсидий (протокол от 20.05.2019)</t>
  </si>
  <si>
    <t>Использовано субсидий (протокол от27.05.2019)</t>
  </si>
  <si>
    <t>Остаток сумм субсидии по заемщикам на 01.06.2019, руб.</t>
  </si>
  <si>
    <t>протокол от 24.06.2019</t>
  </si>
  <si>
    <t>Остаток сумм субсидии по заемщикам на 01.07.2019, руб.</t>
  </si>
  <si>
    <t>Остаток сумм субсидии по заемщикам на 01.07.2019 от сумм кредита с учетом Прогноза, руб.</t>
  </si>
  <si>
    <t>Высвободившаяся сумма субсидии по состоянию на 01.07.2019</t>
  </si>
  <si>
    <t>протокол от 08.07.2019</t>
  </si>
  <si>
    <t>протокол от 15.07.2019</t>
  </si>
  <si>
    <t>протокол от 22.07.2019</t>
  </si>
  <si>
    <t>Остаток сумм субсидии по заемщикам на 22.07.2019 от сумм кредита с учетом Прогноза, руб.</t>
  </si>
  <si>
    <t>протокол от 29.07.2019</t>
  </si>
  <si>
    <t>Остаток сумм субсидии по заемщикам на 01.08.2019 от сумм кредита с учетом Прогноза, руб.(по доп расчитано 3,5 мес)</t>
  </si>
  <si>
    <t>протокол от 01.08.2019</t>
  </si>
  <si>
    <t>протокол от 05.08.2019</t>
  </si>
  <si>
    <t>протокол от 12.08.2019</t>
  </si>
  <si>
    <t>протокол от 15.08.2019</t>
  </si>
  <si>
    <t>протокол от 19.08.2019</t>
  </si>
  <si>
    <t>протокол от 26.08.2019</t>
  </si>
  <si>
    <t>Остаток сумм субсидии по заемщикам на 01.09.2019 от сумм кредита с учетом Прогноза и потребности, заявленной уполн.банками, руб.</t>
  </si>
  <si>
    <t>Остаток сумм субсидии по заемщикам на 01.09.2019 от сумм кредита с учетом Прогноза и потребности, заявленной СХТП,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</si>
  <si>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апреле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</si>
  <si>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Выбрано кредитов (протокол от 01.04.2019)</t>
  </si>
  <si>
    <t>ОТКАЗ от получения льготного кредита, рублей</t>
  </si>
  <si>
    <t>Выбрано кредитов (протокол от 08.04.2019)</t>
  </si>
  <si>
    <t>Выбрано кредитов (протокол от 15.04.2019)</t>
  </si>
  <si>
    <t>Выбрано кредитов (протокол от 22.04.2019)</t>
  </si>
  <si>
    <t>Выбрано кредитов (протокол от 29.04.2019)</t>
  </si>
  <si>
    <t>Остаток максимальной суммы кредита по заемщикам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</si>
  <si>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мае </t>
    </r>
    <r>
      <rPr>
        <sz val="10"/>
        <color indexed="8"/>
        <rFont val="Times New Roman"/>
        <family val="1"/>
        <charset val="204"/>
      </rPr>
      <t>2019 года, руб.</t>
    </r>
  </si>
  <si>
    <t>Выбрано кредитов (протокол от 06.05.2019)</t>
  </si>
  <si>
    <t>Выбрано кредитов (протокол от 20.05.2019)</t>
  </si>
  <si>
    <t>Выбрано кредитов (протокол от 27.05.2019)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</si>
  <si>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июне </t>
    </r>
    <r>
      <rPr>
        <sz val="10"/>
        <color indexed="8"/>
        <rFont val="Times New Roman"/>
        <family val="1"/>
        <charset val="204"/>
      </rPr>
      <t>2019 года, руб.</t>
    </r>
  </si>
  <si>
    <t>Выбрано кредитов (протокол от 24.06.2019)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</si>
  <si>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июле </t>
    </r>
    <r>
      <rPr>
        <sz val="10"/>
        <color indexed="8"/>
        <rFont val="Times New Roman"/>
        <family val="1"/>
        <charset val="204"/>
      </rPr>
      <t>2019 года (на 4 месяца), руб.</t>
    </r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</si>
  <si>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>в июле 2019 года</t>
    </r>
    <r>
      <rPr>
        <sz val="10"/>
        <color indexed="8"/>
        <rFont val="Times New Roman"/>
        <family val="1"/>
        <charset val="204"/>
      </rPr>
      <t xml:space="preserve"> (на 4 месяца) с учетом Прогноза на 2019 год, руб.</t>
    </r>
  </si>
  <si>
    <t>сумма кредита по протоколу от 08.07.2019</t>
  </si>
  <si>
    <t>сумма кредита по протоколу от 15.07.2019</t>
  </si>
  <si>
    <t>сумма кредита по протоколу от 22.07.2019</t>
  </si>
  <si>
    <t>сумма кредита по протоколу от 29.07.2019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</si>
  <si>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>в августе 2019 года</t>
    </r>
    <r>
      <rPr>
        <sz val="10"/>
        <color indexed="8"/>
        <rFont val="Times New Roman"/>
        <family val="1"/>
        <charset val="204"/>
      </rPr>
      <t xml:space="preserve"> (на 3 месяца) с учетом Прогноза на 2019 год, руб.</t>
    </r>
  </si>
  <si>
    <t>сумма кредита по протоколу от 01.08.2019</t>
  </si>
  <si>
    <t>сумма кредита по протоколу от 05.08.2019</t>
  </si>
  <si>
    <t>сумма кредита по протоколу от 12.08.2019</t>
  </si>
  <si>
    <t>сумма кредита по протоколу от 15.08.2019</t>
  </si>
  <si>
    <t>сумма кредита по протоколу от 19.08.2019</t>
  </si>
  <si>
    <t>сумма кредита по протоколу от 26.08.2019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</si>
  <si>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>в сентябре 2019 года</t>
    </r>
    <r>
      <rPr>
        <sz val="10"/>
        <color indexed="8"/>
        <rFont val="Times New Roman"/>
        <family val="1"/>
        <charset val="204"/>
      </rPr>
      <t xml:space="preserve"> (на 2,5 месяца) с учетом Прогноза и потребности на 2019 год заявленной СХТП, руб.</t>
    </r>
  </si>
  <si>
    <t>Потребность в сумме кредита</t>
  </si>
  <si>
    <t>3</t>
  </si>
  <si>
    <t>скрыто</t>
  </si>
  <si>
    <t>9=7-8</t>
  </si>
  <si>
    <t>10=8/7</t>
  </si>
  <si>
    <t>ск</t>
  </si>
  <si>
    <t>скр</t>
  </si>
  <si>
    <t>Х</t>
  </si>
  <si>
    <t>СПК "Нива"</t>
  </si>
  <si>
    <t>4301002231</t>
  </si>
  <si>
    <t>растениеводство</t>
  </si>
  <si>
    <t>да</t>
  </si>
  <si>
    <t>август</t>
  </si>
  <si>
    <t>ООО "СХП "Родина"</t>
  </si>
  <si>
    <t>4301002305</t>
  </si>
  <si>
    <t>убыток за 2018 год</t>
  </si>
  <si>
    <t>РСХБ Зимин подтвердили</t>
  </si>
  <si>
    <t>4301002306</t>
  </si>
  <si>
    <t>ООО "СХП "Виктория"</t>
  </si>
  <si>
    <t>4301002312</t>
  </si>
  <si>
    <t>РСХБ</t>
  </si>
  <si>
    <t>МФХ</t>
  </si>
  <si>
    <t>ОАО "Агрофирма "Гордино"</t>
  </si>
  <si>
    <t>4302002058</t>
  </si>
  <si>
    <t xml:space="preserve">молочное скотоводство </t>
  </si>
  <si>
    <t>СХА "Роза ветров"</t>
  </si>
  <si>
    <t>4302001921</t>
  </si>
  <si>
    <t>РСХБ доп</t>
  </si>
  <si>
    <t>СПК Восход</t>
  </si>
  <si>
    <t>4303000991</t>
  </si>
  <si>
    <t>СПК "Быданово</t>
  </si>
  <si>
    <t>4303003992</t>
  </si>
  <si>
    <t>окт-ноябрь</t>
  </si>
  <si>
    <t>планир-т в октябре-ноябре,руков</t>
  </si>
  <si>
    <t>СПК "Луч"</t>
  </si>
  <si>
    <t>4303004019</t>
  </si>
  <si>
    <t>из комм на льгот июль</t>
  </si>
  <si>
    <t>ООО "Суворовское"</t>
  </si>
  <si>
    <t>4303004499</t>
  </si>
  <si>
    <t>октябрь</t>
  </si>
  <si>
    <t>под вопросом?</t>
  </si>
  <si>
    <t>СХПК им.Кирова</t>
  </si>
  <si>
    <t>430300920</t>
  </si>
  <si>
    <t>Индивидуальный предприниматель Глава крестьянского (фермерского) хозяйства Кутявин Павел Владимирович</t>
  </si>
  <si>
    <t>430400047645</t>
  </si>
  <si>
    <t>май</t>
  </si>
  <si>
    <t>ЗАО "Агрофирма Среднеивкино"</t>
  </si>
  <si>
    <t>4306000319</t>
  </si>
  <si>
    <t>Растениеводство</t>
  </si>
  <si>
    <t>нет</t>
  </si>
  <si>
    <t>СБЕРБАНК</t>
  </si>
  <si>
    <t>СПК "Угор"</t>
  </si>
  <si>
    <t>4306002789</t>
  </si>
  <si>
    <t>сент-октябрь</t>
  </si>
  <si>
    <t>ноябрь</t>
  </si>
  <si>
    <t>СПК "Звезда"</t>
  </si>
  <si>
    <t>4306002820</t>
  </si>
  <si>
    <t>отказались</t>
  </si>
  <si>
    <t>ООО "СХП "Пунгино"</t>
  </si>
  <si>
    <t>4306003359</t>
  </si>
  <si>
    <t>ИП Окунев А.Н., глава КФХ</t>
  </si>
  <si>
    <t>430600743752</t>
  </si>
  <si>
    <t>ИП Окунев Н.И., глава КФХ</t>
  </si>
  <si>
    <t>сентябрь</t>
  </si>
  <si>
    <t>ОАО "Вятско-Полянская птицефабрика"</t>
  </si>
  <si>
    <t>4307003680</t>
  </si>
  <si>
    <t>животноводство</t>
  </si>
  <si>
    <t>РСХБ высвоб 156 166,37</t>
  </si>
  <si>
    <t>руковод,к августу надо до 40млн</t>
  </si>
  <si>
    <t>ООО "Согласие-2"</t>
  </si>
  <si>
    <t>4307005197</t>
  </si>
  <si>
    <t>ИП Медведева Г. А -глава КФХ</t>
  </si>
  <si>
    <t>430700726101</t>
  </si>
  <si>
    <t>апрель</t>
  </si>
  <si>
    <t>ООО "Русь"</t>
  </si>
  <si>
    <t>4307007733</t>
  </si>
  <si>
    <t>молочное скотоводство</t>
  </si>
  <si>
    <t>учредит. вышел из состава, будут в окт заявляться</t>
  </si>
  <si>
    <t>ООО "АПК "Союз"</t>
  </si>
  <si>
    <t>4307012290</t>
  </si>
  <si>
    <t>молочн</t>
  </si>
  <si>
    <t>ООО "Родина-2"</t>
  </si>
  <si>
    <t>4307018213</t>
  </si>
  <si>
    <t>АПК Союз за Родину</t>
  </si>
  <si>
    <t>ИП глава КФХ Скурихин Юрий Александрович</t>
  </si>
  <si>
    <t>430800243010</t>
  </si>
  <si>
    <t>отказался</t>
  </si>
  <si>
    <t>Сельскохозяйственный производственный кооператив-колхоз "Коммунизм"</t>
  </si>
  <si>
    <t>43081000642</t>
  </si>
  <si>
    <t>занимаются лесом</t>
  </si>
  <si>
    <t>менее 70%,лесом занимаются</t>
  </si>
  <si>
    <t>СПК Племенной завод "Новый"</t>
  </si>
  <si>
    <t>4309000733</t>
  </si>
  <si>
    <t>СПК племзавод "Соколовка"</t>
  </si>
  <si>
    <t>4309003131</t>
  </si>
  <si>
    <t>ОАО "Племзавод Мухинский"</t>
  </si>
  <si>
    <t>4309004456</t>
  </si>
  <si>
    <t>ООО "Агрофирма "Мухино"</t>
  </si>
  <si>
    <t>4309006365</t>
  </si>
  <si>
    <t>молочно</t>
  </si>
  <si>
    <t>ИП, глава К(Ф)Х Чернышева Ирина Васильевна</t>
  </si>
  <si>
    <t>430901465562</t>
  </si>
  <si>
    <t>ИП, глава К(Ф)Х Дерендяева Татьяна Михайловна</t>
  </si>
  <si>
    <t>430900073379</t>
  </si>
  <si>
    <t>февраль</t>
  </si>
  <si>
    <t>СХА (колхоз)  «Надежда»</t>
  </si>
  <si>
    <t>4310000618</t>
  </si>
  <si>
    <t>ООО «Вихаревский»</t>
  </si>
  <si>
    <t>4310033910</t>
  </si>
  <si>
    <t>СПК-колхоз «Заря»</t>
  </si>
  <si>
    <t>4310033934</t>
  </si>
  <si>
    <t>июль</t>
  </si>
  <si>
    <t>ООО Кировкая молочная компания</t>
  </si>
  <si>
    <t>4312021130</t>
  </si>
  <si>
    <t>ООО Кировская молочная компания</t>
  </si>
  <si>
    <t>РСХБ доп надо 640455,02</t>
  </si>
  <si>
    <t>СПК "Конып"</t>
  </si>
  <si>
    <t>4312025015</t>
  </si>
  <si>
    <t>РСХБ разница доп 200232,17</t>
  </si>
  <si>
    <t>ООО «Агрофирма «Чуваши»</t>
  </si>
  <si>
    <t>4312042109</t>
  </si>
  <si>
    <t>ООО "Агрофирма "Кстинино"</t>
  </si>
  <si>
    <t>4312042116</t>
  </si>
  <si>
    <t>ООО СХП "ПОЛОМСКОЕ"</t>
  </si>
  <si>
    <t>4312145337</t>
  </si>
  <si>
    <t xml:space="preserve">выбрали полностью </t>
  </si>
  <si>
    <t>ИП Кашин Антон Борисович</t>
  </si>
  <si>
    <t>431202471131</t>
  </si>
  <si>
    <t>СПК колхоз "Искра"</t>
  </si>
  <si>
    <t>4313000060</t>
  </si>
  <si>
    <t>СПК колхоз "Колос"</t>
  </si>
  <si>
    <t>4313001120</t>
  </si>
  <si>
    <t xml:space="preserve">  </t>
  </si>
  <si>
    <t>Ип (Глава КФХ) Савков Никита Валерьевич</t>
  </si>
  <si>
    <t>431300147670</t>
  </si>
  <si>
    <t>ОАО "Янтарь"</t>
  </si>
  <si>
    <t>4313003261</t>
  </si>
  <si>
    <t>ООО Агрофирма колхоз "Путь Ленина"</t>
  </si>
  <si>
    <t>4313009601</t>
  </si>
  <si>
    <t>СПК  "Знамя Ленина"</t>
  </si>
  <si>
    <t>4314000231</t>
  </si>
  <si>
    <t>нет в Прогнозе</t>
  </si>
  <si>
    <t>СПК "Красное Знамя"</t>
  </si>
  <si>
    <t>4314000369</t>
  </si>
  <si>
    <t>июнь</t>
  </si>
  <si>
    <t>растен</t>
  </si>
  <si>
    <t>СПК "Березниковский"</t>
  </si>
  <si>
    <t>4314000626</t>
  </si>
  <si>
    <t>ОАО "Вожгальский маслодельно-сыродельный завод"</t>
  </si>
  <si>
    <t>4314001235</t>
  </si>
  <si>
    <t>4314001236</t>
  </si>
  <si>
    <t>4314001237</t>
  </si>
  <si>
    <t>ООО "Верхобыстрица"</t>
  </si>
  <si>
    <t>4314004148</t>
  </si>
  <si>
    <t>ЗАО племзавод "Октябрьский"</t>
  </si>
  <si>
    <t>4314004250</t>
  </si>
  <si>
    <t>планировали выборку в сент15</t>
  </si>
  <si>
    <t>9 ВТБ</t>
  </si>
  <si>
    <t>в окт 6</t>
  </si>
  <si>
    <t>ВТБ</t>
  </si>
  <si>
    <t>СПК племзавод "Красный Октябрь"</t>
  </si>
  <si>
    <t>4314000721</t>
  </si>
  <si>
    <t>октябрь-ноябрь</t>
  </si>
  <si>
    <t>КФХ "Лада"</t>
  </si>
  <si>
    <t>4315000065</t>
  </si>
  <si>
    <t>КФХ "Исток"</t>
  </si>
  <si>
    <t>4315000629</t>
  </si>
  <si>
    <t>КФХ "Надежда"</t>
  </si>
  <si>
    <t>4315001157</t>
  </si>
  <si>
    <t>ООО "Лебяжское"</t>
  </si>
  <si>
    <t>4315007247</t>
  </si>
  <si>
    <t>ИП ГКФХ Алембаев Валерий Алексеевич</t>
  </si>
  <si>
    <t>431500902908</t>
  </si>
  <si>
    <t>оформил в Хлыновбанке</t>
  </si>
  <si>
    <t>взял в Хлынов</t>
  </si>
  <si>
    <t>СПК СА (колхоз) «Гигант»</t>
  </si>
  <si>
    <t>4317000487</t>
  </si>
  <si>
    <t>СПК СА (колхоз) имени Мичурина</t>
  </si>
  <si>
    <t>4317000712</t>
  </si>
  <si>
    <t>СПК СА (колхоз) «Зерновой»</t>
  </si>
  <si>
    <t>4317000800</t>
  </si>
  <si>
    <t>ОАО агрофирма «Калинино»</t>
  </si>
  <si>
    <t>4317004770</t>
  </si>
  <si>
    <t>письмо от 09.07.2019</t>
  </si>
  <si>
    <t>ООО агрофирма «Савали»</t>
  </si>
  <si>
    <t>4317004876</t>
  </si>
  <si>
    <t>ООО Агрофирма «Савали»</t>
  </si>
  <si>
    <t>раст</t>
  </si>
  <si>
    <t>ООО агрофирма «Малмыж»</t>
  </si>
  <si>
    <t>4317005005</t>
  </si>
  <si>
    <t>АО агрофирма «Смаиль»</t>
  </si>
  <si>
    <t>4317005076</t>
  </si>
  <si>
    <t>письмо от 03.07</t>
  </si>
  <si>
    <t>ООО « Заря»</t>
  </si>
  <si>
    <t>4317005171</t>
  </si>
  <si>
    <t>СПК (колхоз) "Заря"</t>
  </si>
  <si>
    <t>4319000059</t>
  </si>
  <si>
    <t>ООО "Природа-Агро"</t>
  </si>
  <si>
    <t>4320003015</t>
  </si>
  <si>
    <t>АО "Агрофирма "Немский"</t>
  </si>
  <si>
    <t>4320003054</t>
  </si>
  <si>
    <t>СХА колхоз «Ерёминский»</t>
  </si>
  <si>
    <t>4321000257</t>
  </si>
  <si>
    <t>СХА колхоз «Восход»</t>
  </si>
  <si>
    <t>4321000391</t>
  </si>
  <si>
    <t>взяли больше</t>
  </si>
  <si>
    <t>ООО "Шварихинский"</t>
  </si>
  <si>
    <t>4321007245</t>
  </si>
  <si>
    <t>уточнили молочн.скотов</t>
  </si>
  <si>
    <t xml:space="preserve">сентябрь </t>
  </si>
  <si>
    <t>гл.бух</t>
  </si>
  <si>
    <t>СПК колхоз «Ленинец»</t>
  </si>
  <si>
    <t>4321000666</t>
  </si>
  <si>
    <t>взяли 1 млн, планировали 4</t>
  </si>
  <si>
    <t>идет слияние с Дороничами</t>
  </si>
  <si>
    <t>4321000667</t>
  </si>
  <si>
    <t>ООО «Майский»</t>
  </si>
  <si>
    <t>4321019321</t>
  </si>
  <si>
    <t>отказ</t>
  </si>
  <si>
    <t>ИП, глава К(Ф)Х Медведева Елена Александровна</t>
  </si>
  <si>
    <t>432200039217</t>
  </si>
  <si>
    <t>подали документы в июле на 1млн</t>
  </si>
  <si>
    <t>ООО "Омутнинское рыбное хозяйство"</t>
  </si>
  <si>
    <t>4322010233</t>
  </si>
  <si>
    <t>подали документы в июле на 2млн</t>
  </si>
  <si>
    <t>ООО "АГРОФИРМА "КОРШИК"</t>
  </si>
  <si>
    <t>4324000760</t>
  </si>
  <si>
    <t>СПК племзавод "Гарский"</t>
  </si>
  <si>
    <t>4324000985</t>
  </si>
  <si>
    <t>ООО «Агрофирма «Адышево»</t>
  </si>
  <si>
    <t>4324007525</t>
  </si>
  <si>
    <t>из 40 выбрали 38</t>
  </si>
  <si>
    <t>ООО «Племзавод «Луговой»</t>
  </si>
  <si>
    <t>4324007532</t>
  </si>
  <si>
    <t>молочное ското</t>
  </si>
  <si>
    <t>ООО "Вятский сельхозпроизводитель"</t>
  </si>
  <si>
    <t>4324008631</t>
  </si>
  <si>
    <t>уточн животнов</t>
  </si>
  <si>
    <t>план8 взяли 3,14</t>
  </si>
  <si>
    <t>декабрь</t>
  </si>
  <si>
    <t>СПК "Пустоши"</t>
  </si>
  <si>
    <t>4324002990</t>
  </si>
  <si>
    <t xml:space="preserve">июль </t>
  </si>
  <si>
    <t>ООО "Агрохолдинг Усовы"</t>
  </si>
  <si>
    <t>4324008159</t>
  </si>
  <si>
    <t>АО "Лактис"</t>
  </si>
  <si>
    <t>4325000106</t>
  </si>
  <si>
    <t>СБ позвонят, но планировать можно, Руков возьмут</t>
  </si>
  <si>
    <t xml:space="preserve">СПК - колхоз "Ленинец" </t>
  </si>
  <si>
    <t>4325000177</t>
  </si>
  <si>
    <t>РХБ</t>
  </si>
  <si>
    <t>СХПК СА (колхоз) "Ошаевский"</t>
  </si>
  <si>
    <t>4325000280</t>
  </si>
  <si>
    <t>руков в августе возьмут 1 млн</t>
  </si>
  <si>
    <t>АО "Ижевское"</t>
  </si>
  <si>
    <t>4325002946</t>
  </si>
  <si>
    <t>Нновгород РСХБ на 5 мес</t>
  </si>
  <si>
    <t>АО "Ахмановское"</t>
  </si>
  <si>
    <t>4325003019</t>
  </si>
  <si>
    <t xml:space="preserve">август </t>
  </si>
  <si>
    <t>ООО СХП "Сретенское"</t>
  </si>
  <si>
    <t>4325003114</t>
  </si>
  <si>
    <t>СПК "Маяк"</t>
  </si>
  <si>
    <t>4326001159</t>
  </si>
  <si>
    <t>план</t>
  </si>
  <si>
    <t>ООО "Подосиновский агрокомплекс"</t>
  </si>
  <si>
    <t>4326999882</t>
  </si>
  <si>
    <t>СХПК колхоз Заозерский</t>
  </si>
  <si>
    <t>4327000180</t>
  </si>
  <si>
    <t>сентябрь доп</t>
  </si>
  <si>
    <t>ОАО Санчурский маслозавод</t>
  </si>
  <si>
    <t>4327000302</t>
  </si>
  <si>
    <t>уточнено молочное скотоводство</t>
  </si>
  <si>
    <t>руководитель, в СБ на 5 млн</t>
  </si>
  <si>
    <t>ООО Рассвет</t>
  </si>
  <si>
    <t>4327003230</t>
  </si>
  <si>
    <t>Животноводство</t>
  </si>
  <si>
    <t>Шах молоко просили на 2 кв 15млн</t>
  </si>
  <si>
    <t xml:space="preserve">СБЕРБАНК </t>
  </si>
  <si>
    <t>ООО "Октябрьское"</t>
  </si>
  <si>
    <t>4328002510</t>
  </si>
  <si>
    <t>ИП глава К(Ф)Х Азизов Рафик Кязым оглы ликвид</t>
  </si>
  <si>
    <t>43280093408</t>
  </si>
  <si>
    <t>ликвидирован</t>
  </si>
  <si>
    <t>СПК "Лекминский"</t>
  </si>
  <si>
    <t>4329000650</t>
  </si>
  <si>
    <t>развитие растениеводства</t>
  </si>
  <si>
    <t>СПК "Красная Талица"</t>
  </si>
  <si>
    <t>4329004510</t>
  </si>
  <si>
    <t>август-сентябрь</t>
  </si>
  <si>
    <t>руков подтвердил только 7 млн</t>
  </si>
  <si>
    <t>ООО "Зверохозяйство "Вятка"</t>
  </si>
  <si>
    <t>4329008459</t>
  </si>
  <si>
    <t>развитие животноводства</t>
  </si>
  <si>
    <t>ООО "Агрофирма "Бобино-М"</t>
  </si>
  <si>
    <t>4329013466</t>
  </si>
  <si>
    <t>СХПК-СА (колхоз) "Лошкаринский"</t>
  </si>
  <si>
    <t>4330000655</t>
  </si>
  <si>
    <t>ООО "Советская агрофирма"</t>
  </si>
  <si>
    <t>4330004233</t>
  </si>
  <si>
    <t>животнов</t>
  </si>
  <si>
    <t>ООО "Агрофирма Надежда"</t>
  </si>
  <si>
    <t>4330004554</t>
  </si>
  <si>
    <t xml:space="preserve">растн </t>
  </si>
  <si>
    <t>АО "Мокинское"</t>
  </si>
  <si>
    <t>4330004586</t>
  </si>
  <si>
    <t>уточн растен</t>
  </si>
  <si>
    <t>АО "Русь"</t>
  </si>
  <si>
    <t>4330005244</t>
  </si>
  <si>
    <t>СБЕРБАНК заявка</t>
  </si>
  <si>
    <t>заявка в сб/б растен</t>
  </si>
  <si>
    <t>сейчас заявка в Сб/б мол.ск</t>
  </si>
  <si>
    <t>АО "Прогресс"</t>
  </si>
  <si>
    <t>4330005886</t>
  </si>
  <si>
    <t>ООО "Торговый Дом Агро"</t>
  </si>
  <si>
    <t>4330007266</t>
  </si>
  <si>
    <t>нет ответа</t>
  </si>
  <si>
    <t>нет писем</t>
  </si>
  <si>
    <t>ООО "Агрохолдинг"</t>
  </si>
  <si>
    <t>4330007393</t>
  </si>
  <si>
    <t>ИП Глушков Сергей Аркадьевич, глава К(Ф)Х</t>
  </si>
  <si>
    <t>433002063957</t>
  </si>
  <si>
    <t>ПСПК «Краснопольский»</t>
  </si>
  <si>
    <t>4331000023</t>
  </si>
  <si>
    <t>руковод, не хотят брать кр.</t>
  </si>
  <si>
    <t>СПК (колхоз) «Сунский»</t>
  </si>
  <si>
    <t>4331000030</t>
  </si>
  <si>
    <t>СПК колхоз «Плельский»</t>
  </si>
  <si>
    <t>4331000136</t>
  </si>
  <si>
    <t>СПК колхоз «Большевик»</t>
  </si>
  <si>
    <t>4331000577</t>
  </si>
  <si>
    <t>ООО «Курчумское»</t>
  </si>
  <si>
    <t>4331002736</t>
  </si>
  <si>
    <t>ИП глава КФХ Кислицын  Олег Васильевич</t>
  </si>
  <si>
    <t>433200017663</t>
  </si>
  <si>
    <t>не требется, письмо от 03.07</t>
  </si>
  <si>
    <t>ИП глава КФХ Клепцов Владимир Александрович</t>
  </si>
  <si>
    <t>433200157205</t>
  </si>
  <si>
    <t>СПК колхоз "Новый"</t>
  </si>
  <si>
    <t>4332002489</t>
  </si>
  <si>
    <t>ООО "Ударник" (СХА (колхоз) "Грековский")</t>
  </si>
  <si>
    <t>4332007007</t>
  </si>
  <si>
    <t>руковод, к уборке план взять 5млн</t>
  </si>
  <si>
    <t>ООО "СХП "Колос"</t>
  </si>
  <si>
    <t>4332006388</t>
  </si>
  <si>
    <t>СПК "Земледелец"</t>
  </si>
  <si>
    <t>4333002682</t>
  </si>
  <si>
    <t>ООО "СХП "Елгань"</t>
  </si>
  <si>
    <t>4333004320</t>
  </si>
  <si>
    <t>Сбербанк</t>
  </si>
  <si>
    <t>молоч</t>
  </si>
  <si>
    <t>ООО "Дружба"</t>
  </si>
  <si>
    <t>4334005189</t>
  </si>
  <si>
    <t>РСХБ доп 25290,58</t>
  </si>
  <si>
    <t>ООО "Пригородное"</t>
  </si>
  <si>
    <t>4334006224</t>
  </si>
  <si>
    <t>ООО "Агрофирма Строитель</t>
  </si>
  <si>
    <t>4334008253</t>
  </si>
  <si>
    <t>ООО имени Кирова</t>
  </si>
  <si>
    <t>4334008630</t>
  </si>
  <si>
    <t>4334007348</t>
  </si>
  <si>
    <t>СПК- колхоз имени Ленина</t>
  </si>
  <si>
    <t>4335000264</t>
  </si>
  <si>
    <t>СПК колхоз имени Свердлова</t>
  </si>
  <si>
    <t>4335000289</t>
  </si>
  <si>
    <t>АО «имени Кирова»</t>
  </si>
  <si>
    <t>4335003603</t>
  </si>
  <si>
    <t>ООО «СПП-Верхосунское»</t>
  </si>
  <si>
    <t>4335003716</t>
  </si>
  <si>
    <t>Индивидуальный предприниматель глава крестьянского (фермерского) хозяйства Лекомцев Павел Анатольевич</t>
  </si>
  <si>
    <t>433500689120</t>
  </si>
  <si>
    <t>Индивидуальный предприниматель глава крестьянского (фермерского) хозяйства Ефремов Александр Юрьевич</t>
  </si>
  <si>
    <t>433500905099</t>
  </si>
  <si>
    <t>ИП глава КФХ Русаков Сергей Вениаминович</t>
  </si>
  <si>
    <t>433600117077</t>
  </si>
  <si>
    <t>СХЗАО "Тохтинское"</t>
  </si>
  <si>
    <t>4336001694</t>
  </si>
  <si>
    <t>РСХБ заявка</t>
  </si>
  <si>
    <t>ООО Агрофирма "Пригородная"</t>
  </si>
  <si>
    <t>4336003405</t>
  </si>
  <si>
    <t>ООО Агрофирма "Новый путь"</t>
  </si>
  <si>
    <t>4336003451</t>
  </si>
  <si>
    <t>уточн.молочное скот</t>
  </si>
  <si>
    <t>ООО "Кленовицкое"</t>
  </si>
  <si>
    <t>4336003518</t>
  </si>
  <si>
    <t>ООО Агрофирма "Чудиновская"</t>
  </si>
  <si>
    <t>4336003772</t>
  </si>
  <si>
    <t>Общество с ограниченной ответственностью "СЕЛЬСКОХОЗЯЙСТВЕННОЕ ПРЕДПРИЯТИЕ "ВЫСОКОГОРСКИЙ"</t>
  </si>
  <si>
    <t>4337004634</t>
  </si>
  <si>
    <t>01.0М</t>
  </si>
  <si>
    <t>ООО  "АПК "Архангельское"</t>
  </si>
  <si>
    <t>4337004803</t>
  </si>
  <si>
    <t>ООО СХП "Верный путь"</t>
  </si>
  <si>
    <t>4337005148</t>
  </si>
  <si>
    <t>МФХ раст</t>
  </si>
  <si>
    <t>ООО "Агрофирма Подгорцы"</t>
  </si>
  <si>
    <t>4338007740</t>
  </si>
  <si>
    <t>ООО "Новомедянское"</t>
  </si>
  <si>
    <t>4338009674</t>
  </si>
  <si>
    <t>КФХ Лукоянова Юрия Витальевича</t>
  </si>
  <si>
    <t>4339001195</t>
  </si>
  <si>
    <t>ООО "Луч"</t>
  </si>
  <si>
    <t>4339005930</t>
  </si>
  <si>
    <t>СПССК "Южный"</t>
  </si>
  <si>
    <t>4339008627</t>
  </si>
  <si>
    <t>ООО "Льнозавод Знаменский"</t>
  </si>
  <si>
    <t>4339009155</t>
  </si>
  <si>
    <t>ООО "Шалагинское"</t>
  </si>
  <si>
    <t>4339009268</t>
  </si>
  <si>
    <t>ИП глава КФХ Казаков Игорь Николаевич</t>
  </si>
  <si>
    <t>433901050926</t>
  </si>
  <si>
    <t>ИП глава КФХ Вершинин Олег Васильевич</t>
  </si>
  <si>
    <t>433901465328</t>
  </si>
  <si>
    <t>ИП глава КФХ Шестаков Владимир Николаевич</t>
  </si>
  <si>
    <t>433902567114</t>
  </si>
  <si>
    <t>АО "Кировский мясокомбинат"</t>
  </si>
  <si>
    <t>4345000217</t>
  </si>
  <si>
    <t>ЗАО "Кировский молочный комбинат"</t>
  </si>
  <si>
    <t>4345000295</t>
  </si>
  <si>
    <t>ООО АПК Мечта</t>
  </si>
  <si>
    <t>4345315792</t>
  </si>
  <si>
    <t>отказываются</t>
  </si>
  <si>
    <t>руководитель, нарастающим пока минус не покрывается, тратить время на сбор документов бесполезно</t>
  </si>
  <si>
    <t>АО "Агрофирма "Дороничи"</t>
  </si>
  <si>
    <t>4346000273</t>
  </si>
  <si>
    <t>апр</t>
  </si>
  <si>
    <t>ЗАО "Агрокомбинат племзавод "Красногорский"</t>
  </si>
  <si>
    <t>4347004464</t>
  </si>
  <si>
    <t>подал заявкуВТБ</t>
  </si>
  <si>
    <t>план ВТБ</t>
  </si>
  <si>
    <t xml:space="preserve"> ОАО СХП «Кировское»</t>
  </si>
  <si>
    <t>4347006292</t>
  </si>
  <si>
    <t>из 25 взяли 7,09</t>
  </si>
  <si>
    <t>ЗАО «Заречье»</t>
  </si>
  <si>
    <t>4348000230</t>
  </si>
  <si>
    <t>потребность +</t>
  </si>
  <si>
    <t>остаток потребности</t>
  </si>
  <si>
    <t>остаток</t>
  </si>
  <si>
    <t>освоено за апрель</t>
  </si>
  <si>
    <t>высвобождение</t>
  </si>
  <si>
    <t>мфх</t>
  </si>
  <si>
    <t>в т.ч направлен</t>
  </si>
  <si>
    <t>жив</t>
  </si>
  <si>
    <t>молочн скотов</t>
  </si>
  <si>
    <t>мол.ск.</t>
  </si>
  <si>
    <t>скрыть</t>
  </si>
  <si>
    <t>по состоянию на 01.09.2019</t>
  </si>
  <si>
    <t>ИТОГО</t>
  </si>
  <si>
    <t>ВСЕГО</t>
  </si>
  <si>
    <t>уточн растениеводство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</si>
</sst>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 ;[Red]\-#,##0.00\ "/>
    <numFmt numFmtId="166" formatCode="#,##0.0000_ ;[Red]\-#,##0.0000\ "/>
    <numFmt numFmtId="167" formatCode="[$-419]mmmm\ yyyy;@"/>
    <numFmt numFmtId="168" formatCode="#,##0.000000000000000_ ;[Red]\-#,##0.000000000000000\ "/>
    <numFmt numFmtId="169" formatCode="#,##0.00_ ;\-#,##0.0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8"/>
      <name val="Arial"/>
      <family val="2"/>
      <charset val="204"/>
    </font>
    <font>
      <sz val="8"/>
      <color rgb="FF0000FF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11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FF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01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5" borderId="0" xfId="0" applyFont="1" applyFill="1"/>
    <xf numFmtId="0" fontId="2" fillId="0" borderId="0" xfId="0" applyFont="1" applyFill="1" applyAlignment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65" fontId="2" fillId="0" borderId="0" xfId="0" applyNumberFormat="1" applyFont="1" applyFill="1" applyAlignment="1"/>
    <xf numFmtId="0" fontId="3" fillId="0" borderId="0" xfId="0" applyFont="1" applyFill="1"/>
    <xf numFmtId="165" fontId="2" fillId="0" borderId="0" xfId="0" applyNumberFormat="1" applyFont="1" applyFill="1"/>
    <xf numFmtId="165" fontId="2" fillId="2" borderId="0" xfId="0" applyNumberFormat="1" applyFont="1" applyFill="1"/>
    <xf numFmtId="165" fontId="2" fillId="3" borderId="0" xfId="0" applyNumberFormat="1" applyFont="1" applyFill="1"/>
    <xf numFmtId="165" fontId="2" fillId="4" borderId="0" xfId="0" applyNumberFormat="1" applyFont="1" applyFill="1"/>
    <xf numFmtId="165" fontId="2" fillId="5" borderId="0" xfId="0" applyNumberFormat="1" applyFont="1" applyFill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wrapText="1"/>
    </xf>
    <xf numFmtId="165" fontId="6" fillId="0" borderId="4" xfId="0" applyNumberFormat="1" applyFont="1" applyFill="1" applyBorder="1" applyAlignment="1">
      <alignment wrapText="1"/>
    </xf>
    <xf numFmtId="165" fontId="3" fillId="0" borderId="4" xfId="0" applyNumberFormat="1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center" wrapText="1"/>
    </xf>
    <xf numFmtId="166" fontId="3" fillId="0" borderId="4" xfId="0" applyNumberFormat="1" applyFont="1" applyFill="1" applyBorder="1" applyAlignment="1">
      <alignment wrapText="1"/>
    </xf>
    <xf numFmtId="166" fontId="3" fillId="2" borderId="4" xfId="0" applyNumberFormat="1" applyFont="1" applyFill="1" applyBorder="1" applyAlignment="1">
      <alignment wrapText="1"/>
    </xf>
    <xf numFmtId="165" fontId="3" fillId="4" borderId="4" xfId="0" applyNumberFormat="1" applyFont="1" applyFill="1" applyBorder="1" applyAlignment="1">
      <alignment wrapText="1"/>
    </xf>
    <xf numFmtId="165" fontId="3" fillId="5" borderId="4" xfId="0" applyNumberFormat="1" applyFont="1" applyFill="1" applyBorder="1" applyAlignment="1">
      <alignment wrapText="1"/>
    </xf>
    <xf numFmtId="165" fontId="3" fillId="0" borderId="5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2" borderId="5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0" fontId="2" fillId="8" borderId="4" xfId="0" applyFont="1" applyFill="1" applyBorder="1"/>
    <xf numFmtId="0" fontId="2" fillId="8" borderId="4" xfId="0" applyFont="1" applyFill="1" applyBorder="1" applyAlignment="1">
      <alignment wrapText="1"/>
    </xf>
    <xf numFmtId="49" fontId="2" fillId="8" borderId="4" xfId="0" applyNumberFormat="1" applyFont="1" applyFill="1" applyBorder="1" applyAlignment="1">
      <alignment horizontal="center" wrapText="1"/>
    </xf>
    <xf numFmtId="167" fontId="2" fillId="8" borderId="4" xfId="0" applyNumberFormat="1" applyFont="1" applyFill="1" applyBorder="1" applyAlignment="1">
      <alignment horizontal="right" wrapText="1"/>
    </xf>
    <xf numFmtId="3" fontId="2" fillId="8" borderId="4" xfId="0" applyNumberFormat="1" applyFont="1" applyFill="1" applyBorder="1" applyAlignment="1">
      <alignment wrapText="1"/>
    </xf>
    <xf numFmtId="10" fontId="2" fillId="8" borderId="4" xfId="2" applyNumberFormat="1" applyFont="1" applyFill="1" applyBorder="1" applyAlignment="1"/>
    <xf numFmtId="0" fontId="2" fillId="8" borderId="4" xfId="0" applyFont="1" applyFill="1" applyBorder="1" applyAlignment="1"/>
    <xf numFmtId="165" fontId="2" fillId="8" borderId="4" xfId="0" applyNumberFormat="1" applyFont="1" applyFill="1" applyBorder="1" applyAlignment="1"/>
    <xf numFmtId="168" fontId="7" fillId="8" borderId="4" xfId="0" applyNumberFormat="1" applyFont="1" applyFill="1" applyBorder="1" applyAlignment="1"/>
    <xf numFmtId="165" fontId="3" fillId="8" borderId="4" xfId="0" applyNumberFormat="1" applyFont="1" applyFill="1" applyBorder="1"/>
    <xf numFmtId="165" fontId="3" fillId="8" borderId="4" xfId="1" applyNumberFormat="1" applyFont="1" applyFill="1" applyBorder="1"/>
    <xf numFmtId="165" fontId="3" fillId="8" borderId="5" xfId="1" applyNumberFormat="1" applyFont="1" applyFill="1" applyBorder="1"/>
    <xf numFmtId="165" fontId="3" fillId="2" borderId="5" xfId="1" applyNumberFormat="1" applyFont="1" applyFill="1" applyBorder="1"/>
    <xf numFmtId="165" fontId="3" fillId="3" borderId="5" xfId="1" applyNumberFormat="1" applyFont="1" applyFill="1" applyBorder="1"/>
    <xf numFmtId="165" fontId="3" fillId="4" borderId="5" xfId="1" applyNumberFormat="1" applyFont="1" applyFill="1" applyBorder="1"/>
    <xf numFmtId="165" fontId="3" fillId="5" borderId="5" xfId="1" applyNumberFormat="1" applyFont="1" applyFill="1" applyBorder="1"/>
    <xf numFmtId="4" fontId="2" fillId="8" borderId="5" xfId="0" applyNumberFormat="1" applyFont="1" applyFill="1" applyBorder="1"/>
    <xf numFmtId="0" fontId="2" fillId="8" borderId="5" xfId="0" applyFont="1" applyFill="1" applyBorder="1"/>
    <xf numFmtId="0" fontId="2" fillId="2" borderId="5" xfId="0" applyFont="1" applyFill="1" applyBorder="1"/>
    <xf numFmtId="0" fontId="2" fillId="3" borderId="5" xfId="0" applyFont="1" applyFill="1" applyBorder="1"/>
    <xf numFmtId="4" fontId="2" fillId="8" borderId="4" xfId="0" applyNumberFormat="1" applyFont="1" applyFill="1" applyBorder="1"/>
    <xf numFmtId="165" fontId="2" fillId="8" borderId="5" xfId="0" applyNumberFormat="1" applyFont="1" applyFill="1" applyBorder="1"/>
    <xf numFmtId="169" fontId="2" fillId="8" borderId="4" xfId="1" applyNumberFormat="1" applyFont="1" applyFill="1" applyBorder="1"/>
    <xf numFmtId="169" fontId="2" fillId="5" borderId="4" xfId="1" applyNumberFormat="1" applyFont="1" applyFill="1" applyBorder="1"/>
    <xf numFmtId="169" fontId="2" fillId="2" borderId="4" xfId="1" applyNumberFormat="1" applyFont="1" applyFill="1" applyBorder="1"/>
    <xf numFmtId="0" fontId="2" fillId="8" borderId="0" xfId="0" applyFont="1" applyFill="1" applyAlignment="1">
      <alignment wrapText="1"/>
    </xf>
    <xf numFmtId="0" fontId="2" fillId="8" borderId="0" xfId="0" applyFont="1" applyFill="1"/>
    <xf numFmtId="0" fontId="2" fillId="9" borderId="4" xfId="0" applyFont="1" applyFill="1" applyBorder="1"/>
    <xf numFmtId="0" fontId="2" fillId="9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wrapText="1"/>
    </xf>
    <xf numFmtId="49" fontId="2" fillId="9" borderId="4" xfId="0" applyNumberFormat="1" applyFont="1" applyFill="1" applyBorder="1" applyAlignment="1">
      <alignment horizontal="center" wrapText="1"/>
    </xf>
    <xf numFmtId="4" fontId="2" fillId="9" borderId="4" xfId="0" applyNumberFormat="1" applyFont="1" applyFill="1" applyBorder="1" applyAlignment="1">
      <alignment wrapText="1"/>
    </xf>
    <xf numFmtId="167" fontId="2" fillId="9" borderId="4" xfId="0" applyNumberFormat="1" applyFont="1" applyFill="1" applyBorder="1" applyAlignment="1">
      <alignment horizontal="right" wrapText="1"/>
    </xf>
    <xf numFmtId="3" fontId="2" fillId="9" borderId="4" xfId="0" applyNumberFormat="1" applyFont="1" applyFill="1" applyBorder="1" applyAlignment="1">
      <alignment wrapText="1"/>
    </xf>
    <xf numFmtId="10" fontId="2" fillId="9" borderId="4" xfId="2" applyNumberFormat="1" applyFont="1" applyFill="1" applyBorder="1" applyAlignment="1"/>
    <xf numFmtId="0" fontId="2" fillId="9" borderId="4" xfId="0" applyFont="1" applyFill="1" applyBorder="1" applyAlignment="1"/>
    <xf numFmtId="165" fontId="2" fillId="9" borderId="4" xfId="0" applyNumberFormat="1" applyFont="1" applyFill="1" applyBorder="1" applyAlignment="1"/>
    <xf numFmtId="168" fontId="7" fillId="9" borderId="4" xfId="0" applyNumberFormat="1" applyFont="1" applyFill="1" applyBorder="1" applyAlignment="1"/>
    <xf numFmtId="165" fontId="3" fillId="9" borderId="4" xfId="0" applyNumberFormat="1" applyFont="1" applyFill="1" applyBorder="1"/>
    <xf numFmtId="165" fontId="3" fillId="9" borderId="4" xfId="1" applyNumberFormat="1" applyFont="1" applyFill="1" applyBorder="1"/>
    <xf numFmtId="165" fontId="3" fillId="9" borderId="5" xfId="1" applyNumberFormat="1" applyFont="1" applyFill="1" applyBorder="1"/>
    <xf numFmtId="4" fontId="2" fillId="9" borderId="5" xfId="0" applyNumberFormat="1" applyFont="1" applyFill="1" applyBorder="1"/>
    <xf numFmtId="0" fontId="2" fillId="9" borderId="5" xfId="0" applyFont="1" applyFill="1" applyBorder="1"/>
    <xf numFmtId="4" fontId="2" fillId="9" borderId="4" xfId="0" applyNumberFormat="1" applyFont="1" applyFill="1" applyBorder="1"/>
    <xf numFmtId="165" fontId="2" fillId="9" borderId="5" xfId="0" applyNumberFormat="1" applyFont="1" applyFill="1" applyBorder="1"/>
    <xf numFmtId="169" fontId="2" fillId="9" borderId="4" xfId="1" applyNumberFormat="1" applyFont="1" applyFill="1" applyBorder="1"/>
    <xf numFmtId="0" fontId="2" fillId="9" borderId="0" xfId="0" applyFont="1" applyFill="1" applyAlignment="1">
      <alignment wrapText="1"/>
    </xf>
    <xf numFmtId="0" fontId="2" fillId="9" borderId="0" xfId="0" applyFont="1" applyFill="1"/>
    <xf numFmtId="0" fontId="9" fillId="9" borderId="0" xfId="0" applyFont="1" applyFill="1" applyAlignment="1">
      <alignment wrapText="1"/>
    </xf>
    <xf numFmtId="0" fontId="9" fillId="9" borderId="0" xfId="0" applyFont="1" applyFill="1"/>
    <xf numFmtId="0" fontId="9" fillId="9" borderId="4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wrapText="1"/>
    </xf>
    <xf numFmtId="49" fontId="9" fillId="9" borderId="4" xfId="0" applyNumberFormat="1" applyFont="1" applyFill="1" applyBorder="1" applyAlignment="1">
      <alignment horizontal="center" wrapText="1"/>
    </xf>
    <xf numFmtId="167" fontId="9" fillId="9" borderId="4" xfId="0" applyNumberFormat="1" applyFont="1" applyFill="1" applyBorder="1" applyAlignment="1">
      <alignment horizontal="right" wrapText="1"/>
    </xf>
    <xf numFmtId="3" fontId="9" fillId="9" borderId="4" xfId="0" applyNumberFormat="1" applyFont="1" applyFill="1" applyBorder="1" applyAlignment="1">
      <alignment wrapText="1"/>
    </xf>
    <xf numFmtId="10" fontId="9" fillId="9" borderId="4" xfId="2" applyNumberFormat="1" applyFont="1" applyFill="1" applyBorder="1" applyAlignment="1"/>
    <xf numFmtId="0" fontId="9" fillId="9" borderId="4" xfId="0" applyFont="1" applyFill="1" applyBorder="1" applyAlignment="1"/>
    <xf numFmtId="165" fontId="9" fillId="9" borderId="4" xfId="0" applyNumberFormat="1" applyFont="1" applyFill="1" applyBorder="1" applyAlignment="1"/>
    <xf numFmtId="168" fontId="10" fillId="9" borderId="4" xfId="0" applyNumberFormat="1" applyFont="1" applyFill="1" applyBorder="1" applyAlignment="1"/>
    <xf numFmtId="165" fontId="11" fillId="9" borderId="4" xfId="0" applyNumberFormat="1" applyFont="1" applyFill="1" applyBorder="1"/>
    <xf numFmtId="165" fontId="11" fillId="9" borderId="4" xfId="1" applyNumberFormat="1" applyFont="1" applyFill="1" applyBorder="1"/>
    <xf numFmtId="165" fontId="11" fillId="9" borderId="5" xfId="1" applyNumberFormat="1" applyFont="1" applyFill="1" applyBorder="1"/>
    <xf numFmtId="4" fontId="5" fillId="9" borderId="5" xfId="0" applyNumberFormat="1" applyFont="1" applyFill="1" applyBorder="1"/>
    <xf numFmtId="4" fontId="9" fillId="9" borderId="5" xfId="0" applyNumberFormat="1" applyFont="1" applyFill="1" applyBorder="1"/>
    <xf numFmtId="0" fontId="9" fillId="9" borderId="5" xfId="0" applyFont="1" applyFill="1" applyBorder="1"/>
    <xf numFmtId="0" fontId="9" fillId="9" borderId="4" xfId="0" applyFont="1" applyFill="1" applyBorder="1"/>
    <xf numFmtId="0" fontId="3" fillId="9" borderId="4" xfId="0" applyFont="1" applyFill="1" applyBorder="1"/>
    <xf numFmtId="0" fontId="11" fillId="9" borderId="4" xfId="0" applyFont="1" applyFill="1" applyBorder="1"/>
    <xf numFmtId="0" fontId="2" fillId="10" borderId="4" xfId="0" applyFont="1" applyFill="1" applyBorder="1" applyAlignment="1">
      <alignment wrapText="1"/>
    </xf>
    <xf numFmtId="0" fontId="3" fillId="8" borderId="4" xfId="0" applyFont="1" applyFill="1" applyBorder="1"/>
    <xf numFmtId="165" fontId="13" fillId="9" borderId="4" xfId="3" applyNumberFormat="1" applyFont="1" applyFill="1" applyBorder="1" applyAlignment="1">
      <alignment horizontal="right" wrapText="1"/>
    </xf>
    <xf numFmtId="169" fontId="5" fillId="9" borderId="4" xfId="1" applyNumberFormat="1" applyFont="1" applyFill="1" applyBorder="1"/>
    <xf numFmtId="167" fontId="2" fillId="11" borderId="4" xfId="0" applyNumberFormat="1" applyFont="1" applyFill="1" applyBorder="1" applyAlignment="1">
      <alignment horizontal="right" wrapText="1"/>
    </xf>
    <xf numFmtId="169" fontId="2" fillId="10" borderId="4" xfId="1" applyNumberFormat="1" applyFont="1" applyFill="1" applyBorder="1"/>
    <xf numFmtId="0" fontId="2" fillId="2" borderId="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167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wrapText="1"/>
    </xf>
    <xf numFmtId="10" fontId="2" fillId="2" borderId="4" xfId="2" applyNumberFormat="1" applyFont="1" applyFill="1" applyBorder="1" applyAlignment="1"/>
    <xf numFmtId="0" fontId="2" fillId="2" borderId="4" xfId="0" applyFont="1" applyFill="1" applyBorder="1" applyAlignment="1"/>
    <xf numFmtId="165" fontId="2" fillId="2" borderId="4" xfId="0" applyNumberFormat="1" applyFont="1" applyFill="1" applyBorder="1" applyAlignment="1"/>
    <xf numFmtId="168" fontId="7" fillId="2" borderId="4" xfId="0" applyNumberFormat="1" applyFont="1" applyFill="1" applyBorder="1" applyAlignment="1"/>
    <xf numFmtId="165" fontId="3" fillId="2" borderId="4" xfId="0" applyNumberFormat="1" applyFont="1" applyFill="1" applyBorder="1"/>
    <xf numFmtId="165" fontId="3" fillId="2" borderId="4" xfId="1" applyNumberFormat="1" applyFont="1" applyFill="1" applyBorder="1"/>
    <xf numFmtId="4" fontId="15" fillId="2" borderId="7" xfId="0" applyNumberFormat="1" applyFont="1" applyFill="1" applyBorder="1" applyAlignment="1">
      <alignment horizontal="right" wrapText="1"/>
    </xf>
    <xf numFmtId="4" fontId="15" fillId="2" borderId="0" xfId="0" applyNumberFormat="1" applyFont="1" applyFill="1" applyBorder="1" applyAlignment="1">
      <alignment horizontal="right" wrapText="1"/>
    </xf>
    <xf numFmtId="4" fontId="2" fillId="2" borderId="5" xfId="0" applyNumberFormat="1" applyFont="1" applyFill="1" applyBorder="1"/>
    <xf numFmtId="4" fontId="2" fillId="2" borderId="4" xfId="0" applyNumberFormat="1" applyFont="1" applyFill="1" applyBorder="1"/>
    <xf numFmtId="0" fontId="2" fillId="2" borderId="4" xfId="0" applyFont="1" applyFill="1" applyBorder="1"/>
    <xf numFmtId="165" fontId="2" fillId="2" borderId="5" xfId="0" applyNumberFormat="1" applyFont="1" applyFill="1" applyBorder="1"/>
    <xf numFmtId="0" fontId="2" fillId="2" borderId="0" xfId="0" applyFont="1" applyFill="1" applyAlignment="1">
      <alignment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12" borderId="4" xfId="0" applyFont="1" applyFill="1" applyBorder="1" applyAlignment="1">
      <alignment wrapText="1"/>
    </xf>
    <xf numFmtId="169" fontId="2" fillId="11" borderId="4" xfId="1" applyNumberFormat="1" applyFont="1" applyFill="1" applyBorder="1"/>
    <xf numFmtId="0" fontId="5" fillId="10" borderId="0" xfId="0" applyFont="1" applyFill="1" applyAlignment="1">
      <alignment wrapText="1"/>
    </xf>
    <xf numFmtId="0" fontId="5" fillId="10" borderId="0" xfId="0" applyFont="1" applyFill="1"/>
    <xf numFmtId="0" fontId="3" fillId="2" borderId="4" xfId="0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4" fontId="13" fillId="9" borderId="4" xfId="3" applyNumberFormat="1" applyFont="1" applyFill="1" applyBorder="1" applyAlignment="1">
      <alignment horizontal="right" wrapText="1"/>
    </xf>
    <xf numFmtId="167" fontId="16" fillId="9" borderId="4" xfId="0" applyNumberFormat="1" applyFont="1" applyFill="1" applyBorder="1" applyAlignment="1">
      <alignment horizontal="right" wrapText="1"/>
    </xf>
    <xf numFmtId="0" fontId="9" fillId="2" borderId="0" xfId="0" applyFont="1" applyFill="1"/>
    <xf numFmtId="0" fontId="9" fillId="0" borderId="4" xfId="0" applyFont="1" applyFill="1" applyBorder="1" applyAlignment="1"/>
    <xf numFmtId="165" fontId="9" fillId="0" borderId="4" xfId="0" applyNumberFormat="1" applyFont="1" applyFill="1" applyBorder="1" applyAlignment="1"/>
    <xf numFmtId="0" fontId="16" fillId="9" borderId="0" xfId="0" applyFont="1" applyFill="1"/>
    <xf numFmtId="0" fontId="16" fillId="9" borderId="4" xfId="0" applyFont="1" applyFill="1" applyBorder="1" applyAlignment="1">
      <alignment horizontal="center" wrapText="1"/>
    </xf>
    <xf numFmtId="0" fontId="16" fillId="9" borderId="4" xfId="0" applyFont="1" applyFill="1" applyBorder="1" applyAlignment="1">
      <alignment wrapText="1"/>
    </xf>
    <xf numFmtId="49" fontId="16" fillId="9" borderId="4" xfId="0" applyNumberFormat="1" applyFont="1" applyFill="1" applyBorder="1" applyAlignment="1">
      <alignment horizontal="center" wrapText="1"/>
    </xf>
    <xf numFmtId="3" fontId="16" fillId="9" borderId="4" xfId="0" applyNumberFormat="1" applyFont="1" applyFill="1" applyBorder="1" applyAlignment="1">
      <alignment wrapText="1"/>
    </xf>
    <xf numFmtId="10" fontId="16" fillId="9" borderId="4" xfId="2" applyNumberFormat="1" applyFont="1" applyFill="1" applyBorder="1" applyAlignment="1"/>
    <xf numFmtId="0" fontId="16" fillId="9" borderId="4" xfId="0" applyFont="1" applyFill="1" applyBorder="1" applyAlignment="1"/>
    <xf numFmtId="165" fontId="16" fillId="9" borderId="4" xfId="0" applyNumberFormat="1" applyFont="1" applyFill="1" applyBorder="1" applyAlignment="1"/>
    <xf numFmtId="168" fontId="17" fillId="9" borderId="4" xfId="0" applyNumberFormat="1" applyFont="1" applyFill="1" applyBorder="1" applyAlignment="1"/>
    <xf numFmtId="165" fontId="18" fillId="9" borderId="4" xfId="0" applyNumberFormat="1" applyFont="1" applyFill="1" applyBorder="1"/>
    <xf numFmtId="165" fontId="18" fillId="9" borderId="4" xfId="1" applyNumberFormat="1" applyFont="1" applyFill="1" applyBorder="1"/>
    <xf numFmtId="165" fontId="18" fillId="9" borderId="5" xfId="1" applyNumberFormat="1" applyFont="1" applyFill="1" applyBorder="1"/>
    <xf numFmtId="4" fontId="16" fillId="9" borderId="5" xfId="0" applyNumberFormat="1" applyFont="1" applyFill="1" applyBorder="1"/>
    <xf numFmtId="0" fontId="16" fillId="9" borderId="5" xfId="0" applyFont="1" applyFill="1" applyBorder="1"/>
    <xf numFmtId="4" fontId="16" fillId="9" borderId="4" xfId="0" applyNumberFormat="1" applyFont="1" applyFill="1" applyBorder="1"/>
    <xf numFmtId="0" fontId="16" fillId="9" borderId="4" xfId="0" applyFont="1" applyFill="1" applyBorder="1"/>
    <xf numFmtId="165" fontId="16" fillId="9" borderId="5" xfId="0" applyNumberFormat="1" applyFont="1" applyFill="1" applyBorder="1"/>
    <xf numFmtId="169" fontId="16" fillId="9" borderId="4" xfId="1" applyNumberFormat="1" applyFont="1" applyFill="1" applyBorder="1"/>
    <xf numFmtId="0" fontId="16" fillId="9" borderId="0" xfId="0" applyFont="1" applyFill="1" applyAlignment="1">
      <alignment wrapText="1"/>
    </xf>
    <xf numFmtId="0" fontId="9" fillId="0" borderId="0" xfId="0" applyFont="1" applyFill="1"/>
    <xf numFmtId="10" fontId="9" fillId="0" borderId="4" xfId="2" applyNumberFormat="1" applyFont="1" applyFill="1" applyBorder="1" applyAlignment="1"/>
    <xf numFmtId="165" fontId="11" fillId="2" borderId="5" xfId="1" applyNumberFormat="1" applyFont="1" applyFill="1" applyBorder="1"/>
    <xf numFmtId="0" fontId="9" fillId="0" borderId="0" xfId="0" applyFont="1" applyFill="1" applyAlignment="1">
      <alignment wrapText="1"/>
    </xf>
    <xf numFmtId="4" fontId="2" fillId="9" borderId="5" xfId="1" applyNumberFormat="1" applyFont="1" applyFill="1" applyBorder="1"/>
    <xf numFmtId="0" fontId="5" fillId="9" borderId="0" xfId="0" applyFont="1" applyFill="1"/>
    <xf numFmtId="0" fontId="9" fillId="10" borderId="4" xfId="0" applyFont="1" applyFill="1" applyBorder="1" applyAlignment="1">
      <alignment wrapText="1"/>
    </xf>
    <xf numFmtId="49" fontId="9" fillId="10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167" fontId="9" fillId="2" borderId="4" xfId="0" applyNumberFormat="1" applyFont="1" applyFill="1" applyBorder="1" applyAlignment="1">
      <alignment horizontal="right" wrapText="1"/>
    </xf>
    <xf numFmtId="3" fontId="9" fillId="2" borderId="4" xfId="0" applyNumberFormat="1" applyFont="1" applyFill="1" applyBorder="1" applyAlignment="1">
      <alignment wrapText="1"/>
    </xf>
    <xf numFmtId="10" fontId="9" fillId="2" borderId="4" xfId="2" applyNumberFormat="1" applyFont="1" applyFill="1" applyBorder="1" applyAlignment="1"/>
    <xf numFmtId="165" fontId="9" fillId="2" borderId="4" xfId="0" applyNumberFormat="1" applyFont="1" applyFill="1" applyBorder="1" applyAlignment="1"/>
    <xf numFmtId="168" fontId="10" fillId="2" borderId="4" xfId="0" applyNumberFormat="1" applyFont="1" applyFill="1" applyBorder="1" applyAlignment="1"/>
    <xf numFmtId="165" fontId="11" fillId="2" borderId="4" xfId="0" applyNumberFormat="1" applyFont="1" applyFill="1" applyBorder="1"/>
    <xf numFmtId="165" fontId="11" fillId="2" borderId="4" xfId="1" applyNumberFormat="1" applyFont="1" applyFill="1" applyBorder="1"/>
    <xf numFmtId="4" fontId="5" fillId="2" borderId="5" xfId="0" applyNumberFormat="1" applyFont="1" applyFill="1" applyBorder="1"/>
    <xf numFmtId="4" fontId="9" fillId="2" borderId="5" xfId="0" applyNumberFormat="1" applyFont="1" applyFill="1" applyBorder="1"/>
    <xf numFmtId="0" fontId="9" fillId="2" borderId="5" xfId="0" applyFont="1" applyFill="1" applyBorder="1"/>
    <xf numFmtId="0" fontId="9" fillId="2" borderId="4" xfId="0" applyFont="1" applyFill="1" applyBorder="1"/>
    <xf numFmtId="0" fontId="9" fillId="2" borderId="0" xfId="0" applyFont="1" applyFill="1" applyAlignment="1">
      <alignment wrapText="1"/>
    </xf>
    <xf numFmtId="0" fontId="5" fillId="9" borderId="0" xfId="0" applyFont="1" applyFill="1" applyAlignment="1">
      <alignment wrapText="1"/>
    </xf>
    <xf numFmtId="167" fontId="5" fillId="9" borderId="4" xfId="0" applyNumberFormat="1" applyFont="1" applyFill="1" applyBorder="1" applyAlignment="1">
      <alignment horizontal="right" wrapText="1"/>
    </xf>
    <xf numFmtId="165" fontId="11" fillId="3" borderId="5" xfId="1" applyNumberFormat="1" applyFont="1" applyFill="1" applyBorder="1"/>
    <xf numFmtId="0" fontId="9" fillId="2" borderId="4" xfId="0" applyFont="1" applyFill="1" applyBorder="1" applyAlignment="1"/>
    <xf numFmtId="0" fontId="11" fillId="2" borderId="4" xfId="0" applyFont="1" applyFill="1" applyBorder="1"/>
    <xf numFmtId="4" fontId="13" fillId="2" borderId="4" xfId="3" applyNumberFormat="1" applyFont="1" applyFill="1" applyBorder="1" applyAlignment="1">
      <alignment horizontal="right" wrapText="1"/>
    </xf>
    <xf numFmtId="165" fontId="13" fillId="2" borderId="4" xfId="3" applyNumberFormat="1" applyFont="1" applyFill="1" applyBorder="1" applyAlignment="1">
      <alignment horizontal="right" wrapText="1"/>
    </xf>
    <xf numFmtId="49" fontId="9" fillId="2" borderId="4" xfId="0" applyNumberFormat="1" applyFont="1" applyFill="1" applyBorder="1" applyAlignment="1">
      <alignment horizontal="center" wrapText="1"/>
    </xf>
    <xf numFmtId="165" fontId="8" fillId="9" borderId="4" xfId="0" applyNumberFormat="1" applyFont="1" applyFill="1" applyBorder="1"/>
    <xf numFmtId="165" fontId="8" fillId="9" borderId="4" xfId="1" applyNumberFormat="1" applyFont="1" applyFill="1" applyBorder="1"/>
    <xf numFmtId="165" fontId="8" fillId="9" borderId="5" xfId="1" applyNumberFormat="1" applyFont="1" applyFill="1" applyBorder="1"/>
    <xf numFmtId="0" fontId="18" fillId="9" borderId="4" xfId="0" applyFont="1" applyFill="1" applyBorder="1"/>
    <xf numFmtId="165" fontId="18" fillId="2" borderId="5" xfId="1" applyNumberFormat="1" applyFont="1" applyFill="1" applyBorder="1"/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167" fontId="2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wrapText="1"/>
    </xf>
    <xf numFmtId="10" fontId="2" fillId="0" borderId="4" xfId="2" applyNumberFormat="1" applyFont="1" applyFill="1" applyBorder="1" applyAlignment="1"/>
    <xf numFmtId="0" fontId="2" fillId="0" borderId="4" xfId="0" applyFont="1" applyFill="1" applyBorder="1" applyAlignment="1"/>
    <xf numFmtId="165" fontId="2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165" fontId="3" fillId="0" borderId="4" xfId="0" applyNumberFormat="1" applyFont="1" applyFill="1" applyBorder="1"/>
    <xf numFmtId="0" fontId="3" fillId="0" borderId="4" xfId="0" applyFont="1" applyFill="1" applyBorder="1"/>
    <xf numFmtId="165" fontId="3" fillId="0" borderId="4" xfId="1" applyNumberFormat="1" applyFont="1" applyFill="1" applyBorder="1"/>
    <xf numFmtId="165" fontId="3" fillId="0" borderId="5" xfId="1" applyNumberFormat="1" applyFont="1" applyFill="1" applyBorder="1"/>
    <xf numFmtId="4" fontId="2" fillId="0" borderId="5" xfId="0" applyNumberFormat="1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2" fillId="2" borderId="0" xfId="0" applyFont="1" applyFill="1" applyBorder="1"/>
    <xf numFmtId="0" fontId="5" fillId="10" borderId="4" xfId="0" applyFont="1" applyFill="1" applyBorder="1" applyAlignment="1">
      <alignment horizontal="center" wrapText="1"/>
    </xf>
    <xf numFmtId="0" fontId="16" fillId="2" borderId="0" xfId="0" applyFont="1" applyFill="1"/>
    <xf numFmtId="0" fontId="16" fillId="2" borderId="4" xfId="0" applyFont="1" applyFill="1" applyBorder="1" applyAlignment="1">
      <alignment wrapText="1"/>
    </xf>
    <xf numFmtId="49" fontId="16" fillId="2" borderId="4" xfId="0" applyNumberFormat="1" applyFont="1" applyFill="1" applyBorder="1" applyAlignment="1">
      <alignment horizontal="center" wrapText="1"/>
    </xf>
    <xf numFmtId="167" fontId="16" fillId="2" borderId="4" xfId="0" applyNumberFormat="1" applyFont="1" applyFill="1" applyBorder="1" applyAlignment="1">
      <alignment horizontal="right" wrapText="1"/>
    </xf>
    <xf numFmtId="3" fontId="16" fillId="2" borderId="4" xfId="0" applyNumberFormat="1" applyFont="1" applyFill="1" applyBorder="1" applyAlignment="1">
      <alignment wrapText="1"/>
    </xf>
    <xf numFmtId="10" fontId="16" fillId="2" borderId="4" xfId="2" applyNumberFormat="1" applyFont="1" applyFill="1" applyBorder="1" applyAlignment="1"/>
    <xf numFmtId="0" fontId="16" fillId="2" borderId="4" xfId="0" applyFont="1" applyFill="1" applyBorder="1" applyAlignment="1"/>
    <xf numFmtId="165" fontId="16" fillId="2" borderId="4" xfId="0" applyNumberFormat="1" applyFont="1" applyFill="1" applyBorder="1" applyAlignment="1"/>
    <xf numFmtId="168" fontId="17" fillId="2" borderId="4" xfId="0" applyNumberFormat="1" applyFont="1" applyFill="1" applyBorder="1" applyAlignment="1"/>
    <xf numFmtId="165" fontId="18" fillId="2" borderId="4" xfId="0" applyNumberFormat="1" applyFont="1" applyFill="1" applyBorder="1"/>
    <xf numFmtId="0" fontId="18" fillId="2" borderId="4" xfId="0" applyFont="1" applyFill="1" applyBorder="1"/>
    <xf numFmtId="165" fontId="18" fillId="2" borderId="4" xfId="1" applyNumberFormat="1" applyFont="1" applyFill="1" applyBorder="1"/>
    <xf numFmtId="4" fontId="16" fillId="2" borderId="5" xfId="0" applyNumberFormat="1" applyFont="1" applyFill="1" applyBorder="1"/>
    <xf numFmtId="0" fontId="16" fillId="2" borderId="5" xfId="0" applyFont="1" applyFill="1" applyBorder="1"/>
    <xf numFmtId="4" fontId="16" fillId="2" borderId="4" xfId="0" applyNumberFormat="1" applyFont="1" applyFill="1" applyBorder="1"/>
    <xf numFmtId="0" fontId="16" fillId="2" borderId="4" xfId="0" applyFont="1" applyFill="1" applyBorder="1"/>
    <xf numFmtId="165" fontId="16" fillId="2" borderId="5" xfId="0" applyNumberFormat="1" applyFont="1" applyFill="1" applyBorder="1"/>
    <xf numFmtId="169" fontId="16" fillId="2" borderId="4" xfId="1" applyNumberFormat="1" applyFont="1" applyFill="1" applyBorder="1"/>
    <xf numFmtId="4" fontId="14" fillId="9" borderId="4" xfId="3" applyNumberFormat="1" applyFont="1" applyFill="1" applyBorder="1" applyAlignment="1">
      <alignment horizontal="right" wrapText="1"/>
    </xf>
    <xf numFmtId="165" fontId="14" fillId="9" borderId="4" xfId="3" applyNumberFormat="1" applyFont="1" applyFill="1" applyBorder="1" applyAlignment="1">
      <alignment horizontal="right" wrapText="1"/>
    </xf>
    <xf numFmtId="4" fontId="19" fillId="9" borderId="8" xfId="0" applyNumberFormat="1" applyFont="1" applyFill="1" applyBorder="1" applyAlignment="1">
      <alignment horizontal="center" wrapText="1"/>
    </xf>
    <xf numFmtId="4" fontId="19" fillId="9" borderId="4" xfId="0" applyNumberFormat="1" applyFont="1" applyFill="1" applyBorder="1" applyAlignment="1">
      <alignment horizontal="center" wrapText="1"/>
    </xf>
    <xf numFmtId="43" fontId="2" fillId="9" borderId="4" xfId="1" applyFont="1" applyFill="1" applyBorder="1"/>
    <xf numFmtId="4" fontId="19" fillId="9" borderId="7" xfId="0" applyNumberFormat="1" applyFont="1" applyFill="1" applyBorder="1" applyAlignment="1">
      <alignment horizontal="center" wrapText="1"/>
    </xf>
    <xf numFmtId="4" fontId="19" fillId="9" borderId="0" xfId="0" applyNumberFormat="1" applyFont="1" applyFill="1" applyBorder="1" applyAlignment="1">
      <alignment horizontal="center" wrapText="1"/>
    </xf>
    <xf numFmtId="4" fontId="7" fillId="9" borderId="5" xfId="0" applyNumberFormat="1" applyFont="1" applyFill="1" applyBorder="1"/>
    <xf numFmtId="165" fontId="2" fillId="9" borderId="5" xfId="1" applyNumberFormat="1" applyFont="1" applyFill="1" applyBorder="1"/>
    <xf numFmtId="167" fontId="20" fillId="9" borderId="4" xfId="0" applyNumberFormat="1" applyFont="1" applyFill="1" applyBorder="1" applyAlignment="1">
      <alignment horizontal="right" wrapText="1"/>
    </xf>
    <xf numFmtId="43" fontId="3" fillId="9" borderId="4" xfId="1" applyFont="1" applyFill="1" applyBorder="1"/>
    <xf numFmtId="4" fontId="21" fillId="9" borderId="7" xfId="0" applyNumberFormat="1" applyFont="1" applyFill="1" applyBorder="1" applyAlignment="1">
      <alignment horizontal="right" vertical="center" wrapText="1"/>
    </xf>
    <xf numFmtId="4" fontId="19" fillId="9" borderId="9" xfId="0" applyNumberFormat="1" applyFont="1" applyFill="1" applyBorder="1" applyAlignment="1">
      <alignment horizontal="right" wrapText="1"/>
    </xf>
    <xf numFmtId="4" fontId="19" fillId="9" borderId="0" xfId="0" applyNumberFormat="1" applyFont="1" applyFill="1" applyBorder="1" applyAlignment="1">
      <alignment horizontal="right" vertical="center" wrapText="1"/>
    </xf>
    <xf numFmtId="165" fontId="3" fillId="10" borderId="5" xfId="1" applyNumberFormat="1" applyFont="1" applyFill="1" applyBorder="1"/>
    <xf numFmtId="4" fontId="11" fillId="9" borderId="4" xfId="0" applyNumberFormat="1" applyFont="1" applyFill="1" applyBorder="1"/>
    <xf numFmtId="0" fontId="9" fillId="10" borderId="0" xfId="0" applyFont="1" applyFill="1"/>
    <xf numFmtId="167" fontId="9" fillId="10" borderId="4" xfId="0" applyNumberFormat="1" applyFont="1" applyFill="1" applyBorder="1" applyAlignment="1">
      <alignment horizontal="right" wrapText="1"/>
    </xf>
    <xf numFmtId="3" fontId="9" fillId="10" borderId="4" xfId="0" applyNumberFormat="1" applyFont="1" applyFill="1" applyBorder="1" applyAlignment="1">
      <alignment wrapText="1"/>
    </xf>
    <xf numFmtId="10" fontId="9" fillId="10" borderId="4" xfId="2" applyNumberFormat="1" applyFont="1" applyFill="1" applyBorder="1" applyAlignment="1"/>
    <xf numFmtId="165" fontId="9" fillId="10" borderId="4" xfId="0" applyNumberFormat="1" applyFont="1" applyFill="1" applyBorder="1" applyAlignment="1"/>
    <xf numFmtId="168" fontId="10" fillId="10" borderId="4" xfId="0" applyNumberFormat="1" applyFont="1" applyFill="1" applyBorder="1" applyAlignment="1"/>
    <xf numFmtId="0" fontId="9" fillId="10" borderId="4" xfId="0" applyFont="1" applyFill="1" applyBorder="1" applyAlignment="1"/>
    <xf numFmtId="165" fontId="11" fillId="10" borderId="4" xfId="0" applyNumberFormat="1" applyFont="1" applyFill="1" applyBorder="1"/>
    <xf numFmtId="165" fontId="11" fillId="10" borderId="4" xfId="1" applyNumberFormat="1" applyFont="1" applyFill="1" applyBorder="1"/>
    <xf numFmtId="165" fontId="11" fillId="10" borderId="5" xfId="1" applyNumberFormat="1" applyFont="1" applyFill="1" applyBorder="1"/>
    <xf numFmtId="164" fontId="21" fillId="0" borderId="7" xfId="1" applyNumberFormat="1" applyFont="1" applyBorder="1" applyAlignment="1">
      <alignment horizontal="left" vertical="center" wrapText="1"/>
    </xf>
    <xf numFmtId="4" fontId="9" fillId="10" borderId="5" xfId="0" applyNumberFormat="1" applyFont="1" applyFill="1" applyBorder="1"/>
    <xf numFmtId="0" fontId="9" fillId="10" borderId="5" xfId="0" applyFont="1" applyFill="1" applyBorder="1"/>
    <xf numFmtId="4" fontId="2" fillId="10" borderId="4" xfId="0" applyNumberFormat="1" applyFont="1" applyFill="1" applyBorder="1"/>
    <xf numFmtId="0" fontId="9" fillId="10" borderId="4" xfId="0" applyFont="1" applyFill="1" applyBorder="1"/>
    <xf numFmtId="165" fontId="2" fillId="10" borderId="5" xfId="0" applyNumberFormat="1" applyFont="1" applyFill="1" applyBorder="1"/>
    <xf numFmtId="165" fontId="5" fillId="9" borderId="5" xfId="1" applyNumberFormat="1" applyFont="1" applyFill="1" applyBorder="1"/>
    <xf numFmtId="4" fontId="3" fillId="9" borderId="4" xfId="0" applyNumberFormat="1" applyFont="1" applyFill="1" applyBorder="1"/>
    <xf numFmtId="164" fontId="21" fillId="9" borderId="7" xfId="1" applyNumberFormat="1" applyFont="1" applyFill="1" applyBorder="1" applyAlignment="1">
      <alignment horizontal="left" vertical="center" wrapText="1"/>
    </xf>
    <xf numFmtId="165" fontId="3" fillId="9" borderId="5" xfId="1" applyNumberFormat="1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right" wrapText="1"/>
    </xf>
    <xf numFmtId="165" fontId="13" fillId="9" borderId="4" xfId="0" applyNumberFormat="1" applyFont="1" applyFill="1" applyBorder="1" applyAlignment="1">
      <alignment horizontal="right" wrapText="1"/>
    </xf>
    <xf numFmtId="4" fontId="13" fillId="2" borderId="4" xfId="0" applyNumberFormat="1" applyFont="1" applyFill="1" applyBorder="1" applyAlignment="1">
      <alignment horizontal="right" wrapText="1"/>
    </xf>
    <xf numFmtId="165" fontId="13" fillId="2" borderId="4" xfId="0" applyNumberFormat="1" applyFont="1" applyFill="1" applyBorder="1" applyAlignment="1">
      <alignment horizontal="right" wrapText="1"/>
    </xf>
    <xf numFmtId="0" fontId="2" fillId="14" borderId="0" xfId="0" applyFont="1" applyFill="1"/>
    <xf numFmtId="0" fontId="2" fillId="14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10" fontId="2" fillId="10" borderId="4" xfId="2" applyNumberFormat="1" applyFont="1" applyFill="1" applyBorder="1" applyAlignment="1"/>
    <xf numFmtId="0" fontId="2" fillId="10" borderId="4" xfId="0" applyFont="1" applyFill="1" applyBorder="1" applyAlignment="1"/>
    <xf numFmtId="165" fontId="2" fillId="10" borderId="4" xfId="0" applyNumberFormat="1" applyFont="1" applyFill="1" applyBorder="1" applyAlignment="1"/>
    <xf numFmtId="4" fontId="2" fillId="10" borderId="5" xfId="0" applyNumberFormat="1" applyFont="1" applyFill="1" applyBorder="1"/>
    <xf numFmtId="164" fontId="21" fillId="9" borderId="0" xfId="1" applyNumberFormat="1" applyFont="1" applyFill="1" applyBorder="1" applyAlignment="1">
      <alignment horizontal="left" vertical="center" wrapText="1"/>
    </xf>
    <xf numFmtId="164" fontId="22" fillId="2" borderId="7" xfId="1" applyNumberFormat="1" applyFont="1" applyFill="1" applyBorder="1" applyAlignment="1">
      <alignment horizontal="left" vertical="center" wrapText="1"/>
    </xf>
    <xf numFmtId="164" fontId="22" fillId="2" borderId="0" xfId="1" applyNumberFormat="1" applyFont="1" applyFill="1" applyBorder="1" applyAlignment="1">
      <alignment horizontal="left" vertical="center" wrapText="1"/>
    </xf>
    <xf numFmtId="165" fontId="3" fillId="9" borderId="0" xfId="1" applyNumberFormat="1" applyFont="1" applyFill="1" applyBorder="1"/>
    <xf numFmtId="164" fontId="21" fillId="9" borderId="10" xfId="1" applyNumberFormat="1" applyFont="1" applyFill="1" applyBorder="1" applyAlignment="1">
      <alignment horizontal="left" vertical="center" wrapText="1"/>
    </xf>
    <xf numFmtId="4" fontId="19" fillId="9" borderId="7" xfId="0" applyNumberFormat="1" applyFont="1" applyFill="1" applyBorder="1" applyAlignment="1">
      <alignment horizontal="right" wrapText="1"/>
    </xf>
    <xf numFmtId="0" fontId="5" fillId="13" borderId="0" xfId="0" applyFont="1" applyFill="1"/>
    <xf numFmtId="4" fontId="2" fillId="2" borderId="5" xfId="1" applyNumberFormat="1" applyFont="1" applyFill="1" applyBorder="1"/>
    <xf numFmtId="4" fontId="5" fillId="2" borderId="5" xfId="1" applyNumberFormat="1" applyFont="1" applyFill="1" applyBorder="1"/>
    <xf numFmtId="167" fontId="5" fillId="2" borderId="4" xfId="0" applyNumberFormat="1" applyFont="1" applyFill="1" applyBorder="1" applyAlignment="1">
      <alignment horizontal="right" wrapText="1"/>
    </xf>
    <xf numFmtId="0" fontId="23" fillId="9" borderId="4" xfId="3" applyFont="1" applyFill="1" applyBorder="1" applyAlignment="1">
      <alignment horizontal="left" wrapText="1"/>
    </xf>
    <xf numFmtId="49" fontId="13" fillId="9" borderId="4" xfId="3" applyNumberFormat="1" applyFont="1" applyFill="1" applyBorder="1" applyAlignment="1">
      <alignment horizontal="left" wrapText="1"/>
    </xf>
    <xf numFmtId="0" fontId="13" fillId="9" borderId="4" xfId="3" applyFont="1" applyFill="1" applyBorder="1" applyAlignment="1">
      <alignment horizontal="left" wrapText="1"/>
    </xf>
    <xf numFmtId="0" fontId="14" fillId="9" borderId="4" xfId="3" applyFont="1" applyFill="1" applyBorder="1" applyAlignment="1">
      <alignment horizontal="left" wrapText="1"/>
    </xf>
    <xf numFmtId="167" fontId="13" fillId="9" borderId="4" xfId="3" applyNumberFormat="1" applyFont="1" applyFill="1" applyBorder="1" applyAlignment="1">
      <alignment horizontal="left" wrapText="1"/>
    </xf>
    <xf numFmtId="0" fontId="13" fillId="2" borderId="4" xfId="3" applyFont="1" applyFill="1" applyBorder="1" applyAlignment="1">
      <alignment horizontal="left" wrapText="1"/>
    </xf>
    <xf numFmtId="0" fontId="14" fillId="2" borderId="4" xfId="3" applyFont="1" applyFill="1" applyBorder="1" applyAlignment="1">
      <alignment horizontal="left" wrapText="1"/>
    </xf>
    <xf numFmtId="167" fontId="13" fillId="2" borderId="4" xfId="3" applyNumberFormat="1" applyFont="1" applyFill="1" applyBorder="1" applyAlignment="1">
      <alignment horizontal="left" wrapText="1"/>
    </xf>
    <xf numFmtId="4" fontId="5" fillId="9" borderId="5" xfId="1" applyNumberFormat="1" applyFont="1" applyFill="1" applyBorder="1"/>
    <xf numFmtId="4" fontId="13" fillId="9" borderId="4" xfId="0" applyNumberFormat="1" applyFont="1" applyFill="1" applyBorder="1" applyAlignment="1">
      <alignment horizontal="right" wrapText="1"/>
    </xf>
    <xf numFmtId="4" fontId="9" fillId="9" borderId="4" xfId="0" applyNumberFormat="1" applyFont="1" applyFill="1" applyBorder="1" applyAlignment="1"/>
    <xf numFmtId="4" fontId="2" fillId="9" borderId="4" xfId="0" applyNumberFormat="1" applyFont="1" applyFill="1" applyBorder="1" applyAlignment="1"/>
    <xf numFmtId="4" fontId="24" fillId="9" borderId="4" xfId="0" applyNumberFormat="1" applyFont="1" applyFill="1" applyBorder="1" applyAlignment="1">
      <alignment horizontal="right" wrapText="1"/>
    </xf>
    <xf numFmtId="165" fontId="24" fillId="9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/>
    <xf numFmtId="165" fontId="3" fillId="0" borderId="4" xfId="0" applyNumberFormat="1" applyFont="1" applyFill="1" applyBorder="1" applyAlignment="1"/>
    <xf numFmtId="165" fontId="3" fillId="0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/>
    <xf numFmtId="165" fontId="3" fillId="4" borderId="4" xfId="0" applyNumberFormat="1" applyFont="1" applyFill="1" applyBorder="1" applyAlignment="1"/>
    <xf numFmtId="4" fontId="18" fillId="0" borderId="4" xfId="0" applyNumberFormat="1" applyFont="1" applyFill="1" applyBorder="1" applyAlignment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5" fontId="3" fillId="4" borderId="0" xfId="0" applyNumberFormat="1" applyFont="1" applyFill="1"/>
    <xf numFmtId="165" fontId="3" fillId="5" borderId="0" xfId="0" applyNumberFormat="1" applyFont="1" applyFill="1"/>
    <xf numFmtId="169" fontId="2" fillId="0" borderId="0" xfId="0" applyNumberFormat="1" applyFont="1" applyFill="1"/>
    <xf numFmtId="165" fontId="2" fillId="2" borderId="0" xfId="0" applyNumberFormat="1" applyFont="1" applyFill="1" applyBorder="1"/>
    <xf numFmtId="165" fontId="2" fillId="3" borderId="0" xfId="0" applyNumberFormat="1" applyFont="1" applyFill="1" applyBorder="1"/>
    <xf numFmtId="165" fontId="3" fillId="0" borderId="0" xfId="0" applyNumberFormat="1" applyFont="1" applyFill="1" applyBorder="1"/>
    <xf numFmtId="165" fontId="2" fillId="0" borderId="0" xfId="0" applyNumberFormat="1" applyFont="1" applyFill="1" applyBorder="1"/>
    <xf numFmtId="165" fontId="3" fillId="4" borderId="0" xfId="0" applyNumberFormat="1" applyFont="1" applyFill="1" applyBorder="1"/>
    <xf numFmtId="165" fontId="3" fillId="5" borderId="0" xfId="0" applyNumberFormat="1" applyFont="1" applyFill="1" applyBorder="1"/>
    <xf numFmtId="0" fontId="2" fillId="0" borderId="0" xfId="0" applyFont="1" applyFill="1" applyBorder="1"/>
    <xf numFmtId="165" fontId="3" fillId="2" borderId="0" xfId="0" applyNumberFormat="1" applyFont="1" applyFill="1" applyBorder="1"/>
    <xf numFmtId="165" fontId="3" fillId="3" borderId="0" xfId="0" applyNumberFormat="1" applyFont="1" applyFill="1" applyBorder="1"/>
    <xf numFmtId="4" fontId="2" fillId="0" borderId="0" xfId="0" applyNumberFormat="1" applyFont="1" applyFill="1" applyBorder="1"/>
    <xf numFmtId="165" fontId="2" fillId="4" borderId="0" xfId="0" applyNumberFormat="1" applyFont="1" applyFill="1" applyBorder="1"/>
    <xf numFmtId="165" fontId="2" fillId="5" borderId="0" xfId="0" applyNumberFormat="1" applyFont="1" applyFill="1" applyBorder="1"/>
    <xf numFmtId="0" fontId="2" fillId="9" borderId="3" xfId="0" applyFont="1" applyFill="1" applyBorder="1"/>
    <xf numFmtId="4" fontId="21" fillId="2" borderId="7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/>
    <xf numFmtId="164" fontId="21" fillId="2" borderId="7" xfId="1" applyNumberFormat="1" applyFont="1" applyFill="1" applyBorder="1" applyAlignment="1">
      <alignment horizontal="left" vertical="center" wrapText="1"/>
    </xf>
    <xf numFmtId="169" fontId="5" fillId="2" borderId="0" xfId="1" applyNumberFormat="1" applyFont="1" applyFill="1" applyBorder="1" applyAlignment="1">
      <alignment wrapText="1"/>
    </xf>
    <xf numFmtId="0" fontId="23" fillId="2" borderId="4" xfId="3" applyFont="1" applyFill="1" applyBorder="1" applyAlignment="1">
      <alignment horizontal="left" wrapText="1"/>
    </xf>
    <xf numFmtId="49" fontId="13" fillId="2" borderId="4" xfId="3" applyNumberFormat="1" applyFont="1" applyFill="1" applyBorder="1" applyAlignment="1">
      <alignment horizontal="left" wrapText="1"/>
    </xf>
    <xf numFmtId="4" fontId="7" fillId="2" borderId="5" xfId="0" applyNumberFormat="1" applyFont="1" applyFill="1" applyBorder="1"/>
    <xf numFmtId="4" fontId="14" fillId="2" borderId="4" xfId="0" applyNumberFormat="1" applyFont="1" applyFill="1" applyBorder="1" applyAlignment="1">
      <alignment horizontal="right" wrapText="1"/>
    </xf>
    <xf numFmtId="165" fontId="14" fillId="2" borderId="4" xfId="0" applyNumberFormat="1" applyFont="1" applyFill="1" applyBorder="1" applyAlignment="1">
      <alignment horizontal="right" wrapText="1"/>
    </xf>
    <xf numFmtId="165" fontId="3" fillId="2" borderId="0" xfId="1" applyNumberFormat="1" applyFont="1" applyFill="1" applyBorder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lennikova/Desktop/&#1042;&#1067;&#1041;&#1054;&#1056;&#1050;&#1040;%20&#1082;&#1088;&#1077;&#1076;&#1080;&#1090;&#1086;&#1074;%20-%202019%20&#1075;&#1086;&#1076;%20(&#1048;&#1085;&#1092;%20&#1076;&#1083;&#1103;%20&#1048;.&#1042;.&#1043;.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май"/>
      <sheetName val="Прогноз май (2)"/>
      <sheetName val="1"/>
      <sheetName val="2"/>
      <sheetName val="Прогноз декабрь"/>
      <sheetName val="Прогноз для И.В.Головк"/>
      <sheetName val="Рабочая"/>
      <sheetName val="28.01.19"/>
      <sheetName val="Расход объема субсидий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СХТ</v>
          </cell>
        </row>
        <row r="2">
          <cell r="A2" t="str">
            <v>Организация АПК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345"/>
  <sheetViews>
    <sheetView tabSelected="1" topLeftCell="B1" workbookViewId="0">
      <selection activeCell="R320" sqref="R320"/>
    </sheetView>
  </sheetViews>
  <sheetFormatPr defaultRowHeight="12.75" x14ac:dyDescent="0.2"/>
  <cols>
    <col min="1" max="1" width="5.28515625" style="1" hidden="1" customWidth="1"/>
    <col min="2" max="2" width="5.140625" style="345" customWidth="1"/>
    <col min="3" max="3" width="21.140625" style="5" customWidth="1"/>
    <col min="4" max="4" width="11.28515625" style="346" bestFit="1" customWidth="1"/>
    <col min="5" max="5" width="14.140625" style="5" customWidth="1"/>
    <col min="6" max="6" width="5.5703125" style="5" hidden="1" customWidth="1"/>
    <col min="7" max="7" width="12.42578125" style="5" hidden="1" customWidth="1"/>
    <col min="8" max="8" width="12.42578125" style="5" customWidth="1"/>
    <col min="9" max="9" width="13.140625" style="5" customWidth="1"/>
    <col min="10" max="11" width="5.5703125" style="6" hidden="1" customWidth="1"/>
    <col min="12" max="12" width="3.5703125" style="7" hidden="1" customWidth="1"/>
    <col min="13" max="14" width="5.28515625" style="7" hidden="1" customWidth="1"/>
    <col min="15" max="15" width="2.7109375" style="7" hidden="1" customWidth="1"/>
    <col min="16" max="16" width="11.85546875" style="8" customWidth="1"/>
    <col min="17" max="17" width="16.5703125" style="8" hidden="1" customWidth="1"/>
    <col min="18" max="19" width="12.42578125" style="8" customWidth="1"/>
    <col min="20" max="20" width="15.42578125" style="8" customWidth="1"/>
    <col min="21" max="21" width="13.42578125" style="8" hidden="1" customWidth="1"/>
    <col min="22" max="22" width="12.7109375" style="5" hidden="1" customWidth="1"/>
    <col min="23" max="23" width="13.42578125" style="8" customWidth="1"/>
    <col min="24" max="24" width="12.5703125" style="8" customWidth="1"/>
    <col min="25" max="25" width="15.42578125" style="9" customWidth="1"/>
    <col min="26" max="28" width="13" style="9" hidden="1" customWidth="1"/>
    <col min="29" max="29" width="15.140625" style="9" hidden="1" customWidth="1"/>
    <col min="30" max="30" width="15.42578125" style="9" hidden="1" customWidth="1"/>
    <col min="31" max="31" width="16.5703125" style="10" hidden="1" customWidth="1"/>
    <col min="32" max="32" width="13.85546875" style="10" hidden="1" customWidth="1"/>
    <col min="33" max="34" width="14.85546875" style="10" hidden="1" customWidth="1"/>
    <col min="35" max="36" width="14.85546875" style="11" hidden="1" customWidth="1"/>
    <col min="37" max="37" width="14.85546875" style="12" hidden="1" customWidth="1"/>
    <col min="38" max="38" width="14" style="10" hidden="1" customWidth="1"/>
    <col min="39" max="39" width="10.7109375" style="10" hidden="1" customWidth="1"/>
    <col min="40" max="40" width="11.7109375" style="10" hidden="1" customWidth="1"/>
    <col min="41" max="41" width="10.7109375" style="10" hidden="1" customWidth="1"/>
    <col min="42" max="44" width="13.42578125" style="10" hidden="1" customWidth="1"/>
    <col min="45" max="45" width="14.140625" style="10" hidden="1" customWidth="1"/>
    <col min="46" max="46" width="13.42578125" style="10" hidden="1" customWidth="1"/>
    <col min="47" max="48" width="13.42578125" style="13" hidden="1" customWidth="1"/>
    <col min="49" max="50" width="13.42578125" style="14" hidden="1" customWidth="1"/>
    <col min="51" max="60" width="13.42578125" style="13" hidden="1" customWidth="1"/>
    <col min="61" max="61" width="13.42578125" style="13" customWidth="1"/>
    <col min="62" max="62" width="14.42578125" style="1" hidden="1" customWidth="1"/>
    <col min="63" max="64" width="12.5703125" style="1" hidden="1" customWidth="1"/>
    <col min="65" max="65" width="12.42578125" style="1" hidden="1" customWidth="1"/>
    <col min="66" max="67" width="13.140625" style="2" hidden="1" customWidth="1"/>
    <col min="68" max="68" width="13.140625" style="3" hidden="1" customWidth="1"/>
    <col min="69" max="69" width="13.7109375" style="1" hidden="1" customWidth="1"/>
    <col min="70" max="70" width="13.28515625" style="1" hidden="1" customWidth="1"/>
    <col min="71" max="71" width="10.5703125" style="1" hidden="1" customWidth="1"/>
    <col min="72" max="72" width="13.5703125" style="1" hidden="1" customWidth="1"/>
    <col min="73" max="73" width="11.28515625" style="1" hidden="1" customWidth="1"/>
    <col min="74" max="75" width="13.7109375" style="1" hidden="1" customWidth="1"/>
    <col min="76" max="78" width="13.140625" style="1" hidden="1" customWidth="1"/>
    <col min="79" max="88" width="13.140625" style="4" hidden="1" customWidth="1"/>
    <col min="89" max="89" width="17.140625" style="2" customWidth="1"/>
    <col min="90" max="90" width="14.7109375" style="1" hidden="1" customWidth="1"/>
    <col min="91" max="91" width="13.42578125" style="1" hidden="1" customWidth="1"/>
    <col min="92" max="94" width="9.140625" style="1" hidden="1" customWidth="1"/>
    <col min="95" max="96" width="0" style="1" hidden="1" customWidth="1"/>
    <col min="97" max="16384" width="9.140625" style="1"/>
  </cols>
  <sheetData>
    <row r="1" spans="1:93" ht="18.75" x14ac:dyDescent="0.3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</row>
    <row r="2" spans="1:93" ht="15.75" x14ac:dyDescent="0.25">
      <c r="B2" s="399" t="s">
        <v>531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</row>
    <row r="3" spans="1:93" x14ac:dyDescent="0.2">
      <c r="B3" s="15"/>
      <c r="C3" s="15"/>
      <c r="D3" s="16"/>
      <c r="E3" s="15"/>
      <c r="F3" s="15"/>
      <c r="G3" s="15"/>
      <c r="H3" s="15"/>
      <c r="I3" s="15"/>
      <c r="Y3" s="17"/>
      <c r="Z3" s="17"/>
      <c r="AA3" s="17"/>
      <c r="AB3" s="17"/>
      <c r="AC3" s="17"/>
      <c r="AD3" s="17"/>
      <c r="AE3" s="17"/>
      <c r="AF3" s="18"/>
      <c r="AG3" s="18"/>
      <c r="AH3" s="18"/>
      <c r="AI3" s="19"/>
      <c r="AJ3" s="19"/>
      <c r="AK3" s="20"/>
      <c r="AL3" s="18"/>
      <c r="AM3" s="18"/>
      <c r="AN3" s="18"/>
      <c r="AO3" s="18"/>
      <c r="AP3" s="18"/>
      <c r="AQ3" s="18"/>
      <c r="AR3" s="18"/>
      <c r="AS3" s="18"/>
      <c r="AT3" s="18"/>
      <c r="AU3" s="21"/>
      <c r="AV3" s="21"/>
      <c r="AW3" s="22"/>
      <c r="AX3" s="22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X3" s="1" t="s">
        <v>1</v>
      </c>
    </row>
    <row r="4" spans="1:93" s="35" customFormat="1" ht="229.5" x14ac:dyDescent="0.25">
      <c r="A4" s="380" t="s">
        <v>2</v>
      </c>
      <c r="B4" s="378" t="s">
        <v>3</v>
      </c>
      <c r="C4" s="378" t="s">
        <v>4</v>
      </c>
      <c r="D4" s="381" t="s">
        <v>5</v>
      </c>
      <c r="E4" s="378" t="s">
        <v>6</v>
      </c>
      <c r="F4" s="378" t="s">
        <v>7</v>
      </c>
      <c r="G4" s="378" t="s">
        <v>8</v>
      </c>
      <c r="H4" s="23" t="s">
        <v>9</v>
      </c>
      <c r="I4" s="378" t="s">
        <v>10</v>
      </c>
      <c r="J4" s="24"/>
      <c r="K4" s="24"/>
      <c r="L4" s="25"/>
      <c r="M4" s="25"/>
      <c r="N4" s="25" t="s">
        <v>11</v>
      </c>
      <c r="O4" s="25"/>
      <c r="P4" s="385" t="s">
        <v>12</v>
      </c>
      <c r="Q4" s="25" t="s">
        <v>13</v>
      </c>
      <c r="R4" s="385" t="s">
        <v>14</v>
      </c>
      <c r="S4" s="385" t="s">
        <v>15</v>
      </c>
      <c r="T4" s="24" t="s">
        <v>16</v>
      </c>
      <c r="U4" s="24" t="s">
        <v>17</v>
      </c>
      <c r="V4" s="25" t="s">
        <v>18</v>
      </c>
      <c r="W4" s="385" t="s">
        <v>19</v>
      </c>
      <c r="X4" s="385" t="s">
        <v>20</v>
      </c>
      <c r="Y4" s="378" t="s">
        <v>21</v>
      </c>
      <c r="Z4" s="378" t="s">
        <v>22</v>
      </c>
      <c r="AA4" s="23" t="s">
        <v>23</v>
      </c>
      <c r="AB4" s="23" t="s">
        <v>24</v>
      </c>
      <c r="AC4" s="26" t="s">
        <v>25</v>
      </c>
      <c r="AD4" s="387" t="s">
        <v>26</v>
      </c>
      <c r="AE4" s="378" t="s">
        <v>27</v>
      </c>
      <c r="AF4" s="25" t="s">
        <v>28</v>
      </c>
      <c r="AG4" s="27" t="s">
        <v>29</v>
      </c>
      <c r="AH4" s="25" t="s">
        <v>30</v>
      </c>
      <c r="AI4" s="28" t="s">
        <v>31</v>
      </c>
      <c r="AJ4" s="28" t="s">
        <v>32</v>
      </c>
      <c r="AK4" s="28" t="s">
        <v>33</v>
      </c>
      <c r="AL4" s="29" t="s">
        <v>34</v>
      </c>
      <c r="AM4" s="28" t="s">
        <v>35</v>
      </c>
      <c r="AN4" s="28" t="s">
        <v>36</v>
      </c>
      <c r="AO4" s="28" t="s">
        <v>37</v>
      </c>
      <c r="AP4" s="30" t="s">
        <v>38</v>
      </c>
      <c r="AQ4" s="30" t="s">
        <v>39</v>
      </c>
      <c r="AR4" s="383" t="s">
        <v>40</v>
      </c>
      <c r="AS4" s="27" t="s">
        <v>29</v>
      </c>
      <c r="AT4" s="383" t="s">
        <v>41</v>
      </c>
      <c r="AU4" s="391" t="s">
        <v>42</v>
      </c>
      <c r="AV4" s="391" t="s">
        <v>43</v>
      </c>
      <c r="AW4" s="393" t="s">
        <v>44</v>
      </c>
      <c r="AX4" s="393" t="s">
        <v>45</v>
      </c>
      <c r="AY4" s="383" t="s">
        <v>46</v>
      </c>
      <c r="AZ4" s="393" t="s">
        <v>47</v>
      </c>
      <c r="BA4" s="383" t="s">
        <v>48</v>
      </c>
      <c r="BB4" s="389" t="s">
        <v>49</v>
      </c>
      <c r="BC4" s="389" t="s">
        <v>50</v>
      </c>
      <c r="BD4" s="389" t="s">
        <v>51</v>
      </c>
      <c r="BE4" s="389" t="s">
        <v>52</v>
      </c>
      <c r="BF4" s="389" t="s">
        <v>53</v>
      </c>
      <c r="BG4" s="389" t="s">
        <v>54</v>
      </c>
      <c r="BH4" s="383" t="s">
        <v>55</v>
      </c>
      <c r="BI4" s="383" t="s">
        <v>56</v>
      </c>
      <c r="BJ4" s="395" t="s">
        <v>57</v>
      </c>
      <c r="BK4" s="31" t="s">
        <v>58</v>
      </c>
      <c r="BL4" s="27" t="s">
        <v>59</v>
      </c>
      <c r="BM4" s="31" t="s">
        <v>60</v>
      </c>
      <c r="BN4" s="32" t="s">
        <v>61</v>
      </c>
      <c r="BO4" s="32" t="s">
        <v>62</v>
      </c>
      <c r="BP4" s="32" t="s">
        <v>63</v>
      </c>
      <c r="BQ4" s="29" t="s">
        <v>64</v>
      </c>
      <c r="BR4" s="395" t="s">
        <v>65</v>
      </c>
      <c r="BS4" s="28" t="s">
        <v>66</v>
      </c>
      <c r="BT4" s="28" t="s">
        <v>67</v>
      </c>
      <c r="BU4" s="28" t="s">
        <v>68</v>
      </c>
      <c r="BV4" s="400" t="s">
        <v>69</v>
      </c>
      <c r="BW4" s="28" t="s">
        <v>70</v>
      </c>
      <c r="BX4" s="395" t="s">
        <v>71</v>
      </c>
      <c r="BY4" s="378" t="s">
        <v>72</v>
      </c>
      <c r="BZ4" s="23" t="s">
        <v>73</v>
      </c>
      <c r="CA4" s="33" t="s">
        <v>74</v>
      </c>
      <c r="CB4" s="33" t="s">
        <v>75</v>
      </c>
      <c r="CC4" s="33" t="s">
        <v>76</v>
      </c>
      <c r="CD4" s="378" t="s">
        <v>77</v>
      </c>
      <c r="CE4" s="33" t="s">
        <v>78</v>
      </c>
      <c r="CF4" s="33" t="s">
        <v>79</v>
      </c>
      <c r="CG4" s="33" t="s">
        <v>80</v>
      </c>
      <c r="CH4" s="33" t="s">
        <v>81</v>
      </c>
      <c r="CI4" s="33" t="s">
        <v>82</v>
      </c>
      <c r="CJ4" s="33" t="s">
        <v>83</v>
      </c>
      <c r="CK4" s="396" t="s">
        <v>84</v>
      </c>
      <c r="CL4" s="34" t="s">
        <v>85</v>
      </c>
    </row>
    <row r="5" spans="1:93" s="35" customFormat="1" x14ac:dyDescent="0.25">
      <c r="A5" s="380"/>
      <c r="B5" s="379"/>
      <c r="C5" s="379"/>
      <c r="D5" s="382"/>
      <c r="E5" s="379"/>
      <c r="F5" s="379"/>
      <c r="G5" s="379"/>
      <c r="H5" s="36"/>
      <c r="I5" s="379"/>
      <c r="J5" s="24"/>
      <c r="K5" s="24"/>
      <c r="L5" s="25"/>
      <c r="M5" s="25"/>
      <c r="N5" s="25"/>
      <c r="O5" s="25"/>
      <c r="P5" s="386"/>
      <c r="Q5" s="25"/>
      <c r="R5" s="386"/>
      <c r="S5" s="386"/>
      <c r="T5" s="24"/>
      <c r="U5" s="24"/>
      <c r="V5" s="25"/>
      <c r="W5" s="386"/>
      <c r="X5" s="386"/>
      <c r="Y5" s="379"/>
      <c r="Z5" s="379"/>
      <c r="AA5" s="37"/>
      <c r="AB5" s="36"/>
      <c r="AC5" s="36"/>
      <c r="AD5" s="388"/>
      <c r="AE5" s="379"/>
      <c r="AF5" s="24"/>
      <c r="AG5" s="25"/>
      <c r="AH5" s="25"/>
      <c r="AI5" s="28"/>
      <c r="AJ5" s="28"/>
      <c r="AK5" s="38"/>
      <c r="AL5" s="25"/>
      <c r="AM5" s="25"/>
      <c r="AN5" s="25"/>
      <c r="AO5" s="25"/>
      <c r="AP5" s="25"/>
      <c r="AQ5" s="25"/>
      <c r="AR5" s="384"/>
      <c r="AS5" s="39">
        <f>AG7+AS7</f>
        <v>-5108111.5599999996</v>
      </c>
      <c r="AT5" s="384"/>
      <c r="AU5" s="392"/>
      <c r="AV5" s="392"/>
      <c r="AW5" s="394"/>
      <c r="AX5" s="394"/>
      <c r="AY5" s="384"/>
      <c r="AZ5" s="394"/>
      <c r="BA5" s="384"/>
      <c r="BB5" s="390"/>
      <c r="BC5" s="390"/>
      <c r="BD5" s="390"/>
      <c r="BE5" s="390"/>
      <c r="BF5" s="390"/>
      <c r="BG5" s="390"/>
      <c r="BH5" s="384"/>
      <c r="BI5" s="384"/>
      <c r="BJ5" s="395"/>
      <c r="BK5" s="31"/>
      <c r="BL5" s="31"/>
      <c r="BM5" s="31"/>
      <c r="BN5" s="32"/>
      <c r="BO5" s="32"/>
      <c r="BP5" s="40"/>
      <c r="BQ5" s="25"/>
      <c r="BR5" s="395"/>
      <c r="BS5" s="25"/>
      <c r="BV5" s="400"/>
      <c r="BW5" s="31"/>
      <c r="BX5" s="395"/>
      <c r="BY5" s="379"/>
      <c r="BZ5" s="36"/>
      <c r="CA5" s="41"/>
      <c r="CB5" s="41"/>
      <c r="CC5" s="41"/>
      <c r="CD5" s="379"/>
      <c r="CE5" s="36"/>
      <c r="CF5" s="36"/>
      <c r="CG5" s="36"/>
      <c r="CH5" s="36"/>
      <c r="CI5" s="36"/>
      <c r="CJ5" s="36"/>
      <c r="CK5" s="397"/>
      <c r="CL5" s="25"/>
    </row>
    <row r="6" spans="1:93" s="42" customFormat="1" x14ac:dyDescent="0.2">
      <c r="B6" s="43">
        <v>1</v>
      </c>
      <c r="C6" s="43">
        <v>2</v>
      </c>
      <c r="D6" s="43" t="s">
        <v>86</v>
      </c>
      <c r="E6" s="43">
        <v>4</v>
      </c>
      <c r="F6" s="43"/>
      <c r="G6" s="43">
        <v>5</v>
      </c>
      <c r="H6" s="43">
        <v>5</v>
      </c>
      <c r="I6" s="43">
        <v>6</v>
      </c>
      <c r="J6" s="44"/>
      <c r="K6" s="44"/>
      <c r="L6" s="44"/>
      <c r="M6" s="44"/>
      <c r="N6" s="44"/>
      <c r="O6" s="44"/>
      <c r="P6" s="44">
        <v>7</v>
      </c>
      <c r="Q6" s="44" t="s">
        <v>87</v>
      </c>
      <c r="R6" s="44">
        <v>8</v>
      </c>
      <c r="S6" s="44" t="s">
        <v>88</v>
      </c>
      <c r="T6" s="44" t="s">
        <v>89</v>
      </c>
      <c r="U6" s="44" t="s">
        <v>87</v>
      </c>
      <c r="V6" s="44">
        <v>11</v>
      </c>
      <c r="W6" s="44">
        <v>11</v>
      </c>
      <c r="X6" s="44">
        <v>12</v>
      </c>
      <c r="Y6" s="44">
        <v>13</v>
      </c>
      <c r="Z6" s="44">
        <v>14</v>
      </c>
      <c r="AA6" s="44">
        <v>14</v>
      </c>
      <c r="AB6" s="44">
        <v>15</v>
      </c>
      <c r="AC6" s="44">
        <v>16</v>
      </c>
      <c r="AD6" s="44" t="s">
        <v>90</v>
      </c>
      <c r="AE6" s="44" t="s">
        <v>90</v>
      </c>
      <c r="AF6" s="45">
        <v>17</v>
      </c>
      <c r="AG6" s="45"/>
      <c r="AH6" s="45"/>
      <c r="AI6" s="46"/>
      <c r="AJ6" s="46"/>
      <c r="AK6" s="47"/>
      <c r="AL6" s="48"/>
      <c r="AM6" s="45"/>
      <c r="AN6" s="45"/>
      <c r="AO6" s="45"/>
      <c r="AP6" s="45">
        <v>15</v>
      </c>
      <c r="AQ6" s="45"/>
      <c r="AR6" s="45">
        <v>14</v>
      </c>
      <c r="AS6" s="45"/>
      <c r="AT6" s="45"/>
      <c r="AU6" s="49"/>
      <c r="AV6" s="49"/>
      <c r="AW6" s="50"/>
      <c r="AX6" s="50"/>
      <c r="AY6" s="49"/>
      <c r="AZ6" s="49"/>
      <c r="BA6" s="49"/>
      <c r="BB6" s="49"/>
      <c r="BC6" s="49"/>
      <c r="BD6" s="49"/>
      <c r="BE6" s="49"/>
      <c r="BF6" s="49"/>
      <c r="BG6" s="49"/>
      <c r="BH6" s="49" t="s">
        <v>530</v>
      </c>
      <c r="BI6" s="49">
        <v>14</v>
      </c>
      <c r="BJ6" s="44">
        <v>18</v>
      </c>
      <c r="BK6" s="51">
        <v>19</v>
      </c>
      <c r="BL6" s="51"/>
      <c r="BM6" s="51"/>
      <c r="BN6" s="52"/>
      <c r="BO6" s="52"/>
      <c r="BP6" s="53"/>
      <c r="BQ6" s="44"/>
      <c r="BR6" s="44"/>
      <c r="BS6" s="44"/>
      <c r="BV6" s="42">
        <v>16</v>
      </c>
      <c r="BX6" s="44" t="s">
        <v>91</v>
      </c>
      <c r="BY6" s="44">
        <v>15</v>
      </c>
      <c r="BZ6" s="44"/>
      <c r="CA6" s="54"/>
      <c r="CB6" s="54"/>
      <c r="CC6" s="54"/>
      <c r="CD6" s="54">
        <v>15</v>
      </c>
      <c r="CE6" s="54"/>
      <c r="CF6" s="54"/>
      <c r="CG6" s="54"/>
      <c r="CH6" s="54"/>
      <c r="CI6" s="54"/>
      <c r="CJ6" s="54"/>
      <c r="CK6" s="55">
        <v>15</v>
      </c>
      <c r="CL6" s="44" t="s">
        <v>530</v>
      </c>
    </row>
    <row r="7" spans="1:93" s="9" customFormat="1" x14ac:dyDescent="0.2">
      <c r="B7" s="56"/>
      <c r="C7" s="377" t="s">
        <v>533</v>
      </c>
      <c r="D7" s="57"/>
      <c r="E7" s="56"/>
      <c r="F7" s="56"/>
      <c r="G7" s="58"/>
      <c r="H7" s="58"/>
      <c r="I7" s="59">
        <f>SUM(I8:I327)</f>
        <v>3882200000</v>
      </c>
      <c r="J7" s="60"/>
      <c r="K7" s="60"/>
      <c r="L7" s="60"/>
      <c r="M7" s="60"/>
      <c r="N7" s="60"/>
      <c r="O7" s="60"/>
      <c r="P7" s="59">
        <f>SUM(P8:P327)</f>
        <v>158019206.25</v>
      </c>
      <c r="Q7" s="60">
        <f>SUM(Q8:Q327)</f>
        <v>2343027057.7124891</v>
      </c>
      <c r="R7" s="60">
        <v>95863310</v>
      </c>
      <c r="S7" s="60">
        <f>SUM(S8:S327)</f>
        <v>62155896.24999994</v>
      </c>
      <c r="T7" s="61" t="s">
        <v>92</v>
      </c>
      <c r="U7" s="60">
        <f t="shared" ref="U7:AZ7" si="0">SUM(U8:U327)</f>
        <v>626840000</v>
      </c>
      <c r="V7" s="60">
        <f t="shared" si="0"/>
        <v>36398290</v>
      </c>
      <c r="W7" s="59">
        <f t="shared" si="0"/>
        <v>1711920179.031944</v>
      </c>
      <c r="X7" s="60">
        <f t="shared" si="0"/>
        <v>58511769.999768488</v>
      </c>
      <c r="Y7" s="60">
        <f t="shared" si="0"/>
        <v>1711920179.031944</v>
      </c>
      <c r="Z7" s="60">
        <f t="shared" si="0"/>
        <v>58194413.045295455</v>
      </c>
      <c r="AA7" s="60">
        <f t="shared" si="0"/>
        <v>34214060.670000002</v>
      </c>
      <c r="AB7" s="60">
        <f t="shared" si="0"/>
        <v>3953961.31</v>
      </c>
      <c r="AC7" s="62">
        <f t="shared" si="0"/>
        <v>17478575.994317308</v>
      </c>
      <c r="AD7" s="62">
        <f t="shared" si="0"/>
        <v>322886566.11508816</v>
      </c>
      <c r="AE7" s="62">
        <f t="shared" si="0"/>
        <v>335131884.98575473</v>
      </c>
      <c r="AF7" s="62">
        <f t="shared" si="0"/>
        <v>675218.13</v>
      </c>
      <c r="AG7" s="62">
        <f t="shared" si="0"/>
        <v>-4112385.56</v>
      </c>
      <c r="AH7" s="62">
        <f t="shared" si="0"/>
        <v>878850</v>
      </c>
      <c r="AI7" s="63">
        <f t="shared" si="0"/>
        <v>4828460.4799999995</v>
      </c>
      <c r="AJ7" s="63">
        <f t="shared" si="0"/>
        <v>27990.78</v>
      </c>
      <c r="AK7" s="63">
        <f t="shared" si="0"/>
        <v>821953.1100000001</v>
      </c>
      <c r="AL7" s="60">
        <f t="shared" si="0"/>
        <v>6133717.9343172954</v>
      </c>
      <c r="AM7" s="60">
        <f t="shared" si="0"/>
        <v>0</v>
      </c>
      <c r="AN7" s="60">
        <f t="shared" si="0"/>
        <v>1913722.15</v>
      </c>
      <c r="AO7" s="60">
        <f t="shared" si="0"/>
        <v>52312.5</v>
      </c>
      <c r="AP7" s="60">
        <f t="shared" si="0"/>
        <v>3561798.8379680216</v>
      </c>
      <c r="AQ7" s="60">
        <f t="shared" si="0"/>
        <v>1926030.14</v>
      </c>
      <c r="AR7" s="60">
        <f t="shared" si="0"/>
        <v>1740983.2662584321</v>
      </c>
      <c r="AS7" s="60">
        <f t="shared" si="0"/>
        <v>-995725.99999999988</v>
      </c>
      <c r="AT7" s="60">
        <f t="shared" si="0"/>
        <v>4526037.76865</v>
      </c>
      <c r="AU7" s="64">
        <f t="shared" si="0"/>
        <v>7334787.2060005497</v>
      </c>
      <c r="AV7" s="64">
        <f t="shared" si="0"/>
        <v>56250</v>
      </c>
      <c r="AW7" s="65">
        <f t="shared" si="0"/>
        <v>473494.1</v>
      </c>
      <c r="AX7" s="65">
        <f t="shared" si="0"/>
        <v>575315.42000000004</v>
      </c>
      <c r="AY7" s="64">
        <f t="shared" si="0"/>
        <v>8894256.2809750009</v>
      </c>
      <c r="AZ7" s="64">
        <f t="shared" si="0"/>
        <v>2845084.13</v>
      </c>
      <c r="BA7" s="64">
        <f t="shared" ref="BA7:CF7" si="1">SUM(BA8:BA327)</f>
        <v>17157728.291808333</v>
      </c>
      <c r="BB7" s="64">
        <f t="shared" si="1"/>
        <v>488157.53</v>
      </c>
      <c r="BC7" s="64">
        <f t="shared" si="1"/>
        <v>967533.11</v>
      </c>
      <c r="BD7" s="64">
        <f t="shared" si="1"/>
        <v>3814321.11</v>
      </c>
      <c r="BE7" s="64">
        <f t="shared" si="1"/>
        <v>1595496.5599999998</v>
      </c>
      <c r="BF7" s="64">
        <f t="shared" si="1"/>
        <v>775659.38</v>
      </c>
      <c r="BG7" s="64">
        <f t="shared" si="1"/>
        <v>4369530.3099999996</v>
      </c>
      <c r="BH7" s="64">
        <f t="shared" si="1"/>
        <v>5150799.6318083322</v>
      </c>
      <c r="BI7" s="64">
        <f t="shared" si="1"/>
        <v>5845937.8125</v>
      </c>
      <c r="BJ7" s="66">
        <f t="shared" si="1"/>
        <v>376121700.3785038</v>
      </c>
      <c r="BK7" s="67">
        <f t="shared" si="1"/>
        <v>14520820</v>
      </c>
      <c r="BL7" s="67">
        <f t="shared" si="1"/>
        <v>-88803375.1023729</v>
      </c>
      <c r="BM7" s="67">
        <f t="shared" si="1"/>
        <v>21000000</v>
      </c>
      <c r="BN7" s="68">
        <f t="shared" si="1"/>
        <v>120729999.99999999</v>
      </c>
      <c r="BO7" s="68">
        <f t="shared" si="1"/>
        <v>930000</v>
      </c>
      <c r="BP7" s="68">
        <f t="shared" si="1"/>
        <v>22479999.995081156</v>
      </c>
      <c r="BQ7" s="69">
        <f t="shared" si="1"/>
        <v>107657505.28104998</v>
      </c>
      <c r="BR7" s="69">
        <f t="shared" si="1"/>
        <v>150751900.07538658</v>
      </c>
      <c r="BS7" s="69">
        <f t="shared" si="1"/>
        <v>350000</v>
      </c>
      <c r="BT7" s="69">
        <f t="shared" si="1"/>
        <v>55200000</v>
      </c>
      <c r="BU7" s="69">
        <f t="shared" si="1"/>
        <v>1500000</v>
      </c>
      <c r="BV7" s="67">
        <f t="shared" si="1"/>
        <v>102129031.05284642</v>
      </c>
      <c r="BW7" s="67">
        <f t="shared" si="1"/>
        <v>50188000</v>
      </c>
      <c r="BX7" s="69">
        <f t="shared" si="1"/>
        <v>83518148.317868978</v>
      </c>
      <c r="BY7" s="69">
        <f t="shared" si="1"/>
        <v>334518851.77865982</v>
      </c>
      <c r="BZ7" s="69">
        <f t="shared" si="1"/>
        <v>2500000</v>
      </c>
      <c r="CA7" s="69">
        <f t="shared" si="1"/>
        <v>21066100</v>
      </c>
      <c r="CB7" s="69">
        <f t="shared" si="1"/>
        <v>28366000</v>
      </c>
      <c r="CC7" s="69">
        <f t="shared" si="1"/>
        <v>139916000</v>
      </c>
      <c r="CD7" s="69">
        <f t="shared" si="1"/>
        <v>508216145.54620367</v>
      </c>
      <c r="CE7" s="69">
        <f t="shared" si="1"/>
        <v>24500000</v>
      </c>
      <c r="CF7" s="69">
        <f t="shared" si="1"/>
        <v>49600000</v>
      </c>
      <c r="CG7" s="69">
        <f t="shared" ref="CG7:CL7" si="2">SUM(CG8:CG327)</f>
        <v>223250000</v>
      </c>
      <c r="CH7" s="69">
        <f t="shared" si="2"/>
        <v>105000000</v>
      </c>
      <c r="CI7" s="69">
        <f t="shared" si="2"/>
        <v>47600000</v>
      </c>
      <c r="CJ7" s="69">
        <f t="shared" si="2"/>
        <v>277300000</v>
      </c>
      <c r="CK7" s="70">
        <f t="shared" si="2"/>
        <v>573446000</v>
      </c>
      <c r="CL7" s="69">
        <f t="shared" si="2"/>
        <v>1608588633.8042848</v>
      </c>
    </row>
    <row r="8" spans="1:93" s="118" customFormat="1" ht="25.5" x14ac:dyDescent="0.2">
      <c r="A8" s="98">
        <v>1</v>
      </c>
      <c r="B8" s="99">
        <v>1</v>
      </c>
      <c r="C8" s="100" t="s">
        <v>93</v>
      </c>
      <c r="D8" s="101" t="s">
        <v>94</v>
      </c>
      <c r="E8" s="100" t="s">
        <v>95</v>
      </c>
      <c r="F8" s="100" t="s">
        <v>96</v>
      </c>
      <c r="G8" s="103">
        <v>43497</v>
      </c>
      <c r="H8" s="103" t="s">
        <v>97</v>
      </c>
      <c r="I8" s="104">
        <v>2000000</v>
      </c>
      <c r="J8" s="105">
        <v>7.7499999999999999E-2</v>
      </c>
      <c r="K8" s="105">
        <v>7.4999999999999997E-2</v>
      </c>
      <c r="L8" s="106">
        <v>0.9</v>
      </c>
      <c r="M8" s="107">
        <v>10</v>
      </c>
      <c r="N8" s="107">
        <v>3</v>
      </c>
      <c r="O8" s="106">
        <v>12</v>
      </c>
      <c r="P8" s="107">
        <f>I8*J8*L8*M8/O8</f>
        <v>116250</v>
      </c>
      <c r="Q8" s="107">
        <f>I8*0.606656065898319</f>
        <v>1213312.131796638</v>
      </c>
      <c r="R8" s="107">
        <f>Q8*J8*L8*M8/O8</f>
        <v>70523.767660679587</v>
      </c>
      <c r="S8" s="107">
        <f>P8-R8</f>
        <v>45726.232339320413</v>
      </c>
      <c r="T8" s="108">
        <v>0.606656065898319</v>
      </c>
      <c r="U8" s="107"/>
      <c r="V8" s="106"/>
      <c r="W8" s="107">
        <f t="shared" ref="W8:X84" si="3">Q8-U8</f>
        <v>1213312.131796638</v>
      </c>
      <c r="X8" s="107">
        <f t="shared" si="3"/>
        <v>70523.767660679587</v>
      </c>
      <c r="Y8" s="109">
        <f>SUM(W8)</f>
        <v>1213312.131796638</v>
      </c>
      <c r="Z8" s="109">
        <f>SUM(X8)</f>
        <v>70523.767660679587</v>
      </c>
      <c r="AA8" s="109"/>
      <c r="AB8" s="109"/>
      <c r="AC8" s="109">
        <f>Z8-AA8-AB8</f>
        <v>70523.767660679587</v>
      </c>
      <c r="AD8" s="110">
        <v>1213312.131796638</v>
      </c>
      <c r="AE8" s="110">
        <f>AC8/J8/L8/9*O8</f>
        <v>1348124.5908851533</v>
      </c>
      <c r="AF8" s="110"/>
      <c r="AG8" s="111"/>
      <c r="AH8" s="111"/>
      <c r="AI8" s="111"/>
      <c r="AJ8" s="111"/>
      <c r="AK8" s="111"/>
      <c r="AL8" s="111">
        <f>AC8+AG8-AF8-AH8-AI8-AJ8-AK8</f>
        <v>70523.767660679587</v>
      </c>
      <c r="AM8" s="111"/>
      <c r="AN8" s="111"/>
      <c r="AO8" s="111"/>
      <c r="AP8" s="111">
        <f>AL8-AM8-AN8-AO8</f>
        <v>70523.767660679587</v>
      </c>
      <c r="AQ8" s="111"/>
      <c r="AR8" s="111">
        <f>AP8-AQ8</f>
        <v>70523.767660679587</v>
      </c>
      <c r="AS8" s="111"/>
      <c r="AT8" s="111">
        <v>0</v>
      </c>
      <c r="AU8" s="111">
        <f>AR8-AT8</f>
        <v>70523.767660679587</v>
      </c>
      <c r="AV8" s="111"/>
      <c r="AW8" s="111"/>
      <c r="AX8" s="111"/>
      <c r="AY8" s="111">
        <v>45000</v>
      </c>
      <c r="AZ8" s="111"/>
      <c r="BA8" s="111">
        <f>AY8-AZ8</f>
        <v>45000</v>
      </c>
      <c r="BB8" s="111"/>
      <c r="BC8" s="111">
        <v>32178.080000000002</v>
      </c>
      <c r="BD8" s="111"/>
      <c r="BE8" s="111"/>
      <c r="BF8" s="111"/>
      <c r="BG8" s="111"/>
      <c r="BH8" s="188">
        <f>BA8-BB8-BC8-BD8-BE8-BF8-BG8</f>
        <v>12821.919999999998</v>
      </c>
      <c r="BI8" s="188">
        <v>0</v>
      </c>
      <c r="BJ8" s="112">
        <f t="shared" ref="BJ8:BJ55" si="4">AC8/J8/L8/8*O8</f>
        <v>1516640.1647457974</v>
      </c>
      <c r="BK8" s="112"/>
      <c r="BL8" s="112"/>
      <c r="BM8" s="113"/>
      <c r="BN8" s="113"/>
      <c r="BO8" s="113"/>
      <c r="BP8" s="113"/>
      <c r="BQ8" s="114">
        <f>BJ8-BK8+BL8-BM8-BN8-BO8-BP8</f>
        <v>1516640.1647457974</v>
      </c>
      <c r="BR8" s="114">
        <f>AL8/J8/L8/7*O8</f>
        <v>1733303.0454237687</v>
      </c>
      <c r="BS8" s="98"/>
      <c r="BT8" s="98"/>
      <c r="BU8" s="98"/>
      <c r="BV8" s="115">
        <f>AP8/J8/L8/6*O8</f>
        <v>2022186.88632773</v>
      </c>
      <c r="BW8" s="115"/>
      <c r="BX8" s="116">
        <f>AR8/K8/L8/4*O8</f>
        <v>3134389.6738079814</v>
      </c>
      <c r="BY8" s="116">
        <v>0</v>
      </c>
      <c r="BZ8" s="116"/>
      <c r="CA8" s="116"/>
      <c r="CB8" s="116"/>
      <c r="CC8" s="116"/>
      <c r="CD8" s="116">
        <v>2000000</v>
      </c>
      <c r="CE8" s="116"/>
      <c r="CF8" s="116">
        <v>1500000</v>
      </c>
      <c r="CG8" s="116"/>
      <c r="CH8" s="116"/>
      <c r="CI8" s="116"/>
      <c r="CJ8" s="116"/>
      <c r="CK8" s="116">
        <v>0</v>
      </c>
      <c r="CL8" s="116">
        <v>2000000</v>
      </c>
      <c r="CM8" s="117"/>
      <c r="CN8" s="118" t="s">
        <v>95</v>
      </c>
    </row>
    <row r="9" spans="1:93" s="118" customFormat="1" ht="25.5" x14ac:dyDescent="0.2">
      <c r="A9" s="98">
        <f>A8+1</f>
        <v>2</v>
      </c>
      <c r="B9" s="99">
        <f>B8+1</f>
        <v>2</v>
      </c>
      <c r="C9" s="100" t="s">
        <v>98</v>
      </c>
      <c r="D9" s="101" t="s">
        <v>99</v>
      </c>
      <c r="E9" s="100" t="s">
        <v>95</v>
      </c>
      <c r="F9" s="100" t="s">
        <v>96</v>
      </c>
      <c r="G9" s="103">
        <v>43497</v>
      </c>
      <c r="H9" s="103" t="s">
        <v>100</v>
      </c>
      <c r="I9" s="104">
        <v>2000000</v>
      </c>
      <c r="J9" s="105">
        <v>7.7499999999999999E-2</v>
      </c>
      <c r="K9" s="105">
        <v>7.4999999999999997E-2</v>
      </c>
      <c r="L9" s="106">
        <v>0.9</v>
      </c>
      <c r="M9" s="107">
        <v>10</v>
      </c>
      <c r="N9" s="107">
        <v>4</v>
      </c>
      <c r="O9" s="106">
        <v>12</v>
      </c>
      <c r="P9" s="107">
        <f t="shared" ref="P9:P85" si="5">I9*J9*L9*M9/O9</f>
        <v>116250</v>
      </c>
      <c r="Q9" s="107">
        <f t="shared" ref="Q9:Q85" si="6">I9*0.606656065898319</f>
        <v>1213312.131796638</v>
      </c>
      <c r="R9" s="107">
        <f t="shared" ref="R9:R85" si="7">Q9*J9*L9*M9/O9</f>
        <v>70523.767660679587</v>
      </c>
      <c r="S9" s="107">
        <f t="shared" ref="S9:S85" si="8">P9-R9</f>
        <v>45726.232339320413</v>
      </c>
      <c r="T9" s="108">
        <v>0.606656065898319</v>
      </c>
      <c r="U9" s="107"/>
      <c r="V9" s="106"/>
      <c r="W9" s="107">
        <f t="shared" si="3"/>
        <v>1213312.131796638</v>
      </c>
      <c r="X9" s="107">
        <f t="shared" si="3"/>
        <v>70523.767660679587</v>
      </c>
      <c r="Y9" s="109">
        <f t="shared" ref="Y9:Z84" si="9">SUM(W9)</f>
        <v>1213312.131796638</v>
      </c>
      <c r="Z9" s="109">
        <f t="shared" si="9"/>
        <v>70523.767660679587</v>
      </c>
      <c r="AA9" s="109"/>
      <c r="AB9" s="109"/>
      <c r="AC9" s="109">
        <f>Z9-AA9-AB9</f>
        <v>70523.767660679587</v>
      </c>
      <c r="AD9" s="110">
        <v>1577305.77133563</v>
      </c>
      <c r="AE9" s="110">
        <f>AC9/J9/L9/9*O9</f>
        <v>1348124.5908851533</v>
      </c>
      <c r="AF9" s="110"/>
      <c r="AG9" s="111"/>
      <c r="AH9" s="111"/>
      <c r="AI9" s="111"/>
      <c r="AJ9" s="111"/>
      <c r="AK9" s="111"/>
      <c r="AL9" s="111">
        <f t="shared" ref="AL9:AL84" si="10">AC9+AG9-AF9-AH9-AI9-AJ9-AK9</f>
        <v>70523.767660679587</v>
      </c>
      <c r="AM9" s="111"/>
      <c r="AN9" s="111"/>
      <c r="AO9" s="111"/>
      <c r="AP9" s="111">
        <f t="shared" ref="AP9:AP83" si="11">AL9-AM9-AN9-AO9</f>
        <v>70523.767660679587</v>
      </c>
      <c r="AQ9" s="111"/>
      <c r="AR9" s="111">
        <f t="shared" ref="AR9:AR71" si="12">AP9-AQ9</f>
        <v>70523.767660679587</v>
      </c>
      <c r="AS9" s="111">
        <v>-70523.77</v>
      </c>
      <c r="AT9" s="111">
        <v>0</v>
      </c>
      <c r="AU9" s="111">
        <f>AR9-AT9</f>
        <v>70523.767660679587</v>
      </c>
      <c r="AV9" s="111"/>
      <c r="AW9" s="111"/>
      <c r="AX9" s="111"/>
      <c r="AY9" s="111">
        <v>0</v>
      </c>
      <c r="AZ9" s="111"/>
      <c r="BA9" s="85">
        <f t="shared" ref="BA9:BA71" si="13">AY9-AZ9</f>
        <v>0</v>
      </c>
      <c r="BB9" s="85"/>
      <c r="BC9" s="85"/>
      <c r="BD9" s="85"/>
      <c r="BE9" s="85"/>
      <c r="BF9" s="85"/>
      <c r="BG9" s="85"/>
      <c r="BH9" s="111">
        <f>BA9-BB9-BC9-BD9-BE9-BF9-BG9</f>
        <v>0</v>
      </c>
      <c r="BI9" s="111"/>
      <c r="BJ9" s="112">
        <f t="shared" si="4"/>
        <v>1516640.1647457974</v>
      </c>
      <c r="BK9" s="112"/>
      <c r="BL9" s="112"/>
      <c r="BM9" s="113"/>
      <c r="BN9" s="113"/>
      <c r="BO9" s="113"/>
      <c r="BP9" s="113"/>
      <c r="BQ9" s="114">
        <f t="shared" ref="BQ9:BQ84" si="14">BJ9-BK9+BL9-BM9-BN9-BO9-BP9</f>
        <v>1516640.1647457974</v>
      </c>
      <c r="BR9" s="114">
        <f t="shared" ref="BR9:BR83" si="15">AL9/J9/L9/7*O9</f>
        <v>1733303.0454237687</v>
      </c>
      <c r="BS9" s="98"/>
      <c r="BT9" s="98"/>
      <c r="BU9" s="98"/>
      <c r="BV9" s="115">
        <f t="shared" ref="BV9:BV83" si="16">AP9/J9/L9/6*O9</f>
        <v>2022186.88632773</v>
      </c>
      <c r="BW9" s="115"/>
      <c r="BX9" s="116">
        <f t="shared" ref="BX9:BX71" si="17">AR9/K9/L9/4*O9</f>
        <v>3134389.6738079814</v>
      </c>
      <c r="BY9" s="116">
        <v>0</v>
      </c>
      <c r="BZ9" s="116"/>
      <c r="CA9" s="116"/>
      <c r="CB9" s="116"/>
      <c r="CC9" s="116"/>
      <c r="CD9" s="116">
        <v>0</v>
      </c>
      <c r="CE9" s="116"/>
      <c r="CF9" s="116"/>
      <c r="CG9" s="116"/>
      <c r="CH9" s="116"/>
      <c r="CI9" s="116"/>
      <c r="CJ9" s="116"/>
      <c r="CK9" s="116">
        <v>0</v>
      </c>
      <c r="CL9" s="116">
        <v>2000000</v>
      </c>
      <c r="CM9" s="117"/>
      <c r="CN9" s="118" t="s">
        <v>95</v>
      </c>
      <c r="CO9" s="118" t="s">
        <v>101</v>
      </c>
    </row>
    <row r="10" spans="1:93" s="118" customFormat="1" ht="25.5" x14ac:dyDescent="0.2">
      <c r="B10" s="99">
        <f t="shared" ref="B10:B73" si="18">B9+1</f>
        <v>3</v>
      </c>
      <c r="C10" s="100" t="s">
        <v>98</v>
      </c>
      <c r="D10" s="101" t="s">
        <v>102</v>
      </c>
      <c r="E10" s="100" t="s">
        <v>95</v>
      </c>
      <c r="F10" s="100" t="s">
        <v>96</v>
      </c>
      <c r="G10" s="103">
        <v>43709</v>
      </c>
      <c r="H10" s="103" t="s">
        <v>100</v>
      </c>
      <c r="I10" s="104">
        <v>2000000</v>
      </c>
      <c r="J10" s="105">
        <v>7.7499999999999999E-2</v>
      </c>
      <c r="K10" s="105">
        <v>7.4999999999999997E-2</v>
      </c>
      <c r="L10" s="106">
        <v>0.9</v>
      </c>
      <c r="M10" s="107">
        <v>3</v>
      </c>
      <c r="N10" s="107">
        <v>2</v>
      </c>
      <c r="O10" s="106">
        <v>12</v>
      </c>
      <c r="P10" s="107">
        <f t="shared" si="5"/>
        <v>34875</v>
      </c>
      <c r="Q10" s="107">
        <f t="shared" si="6"/>
        <v>1213312.131796638</v>
      </c>
      <c r="R10" s="107">
        <f t="shared" si="7"/>
        <v>21157.130298203876</v>
      </c>
      <c r="S10" s="107">
        <f t="shared" si="8"/>
        <v>13717.869701796124</v>
      </c>
      <c r="T10" s="108">
        <v>0.606656065898319</v>
      </c>
      <c r="U10" s="107"/>
      <c r="V10" s="106"/>
      <c r="W10" s="107">
        <f t="shared" si="3"/>
        <v>1213312.131796638</v>
      </c>
      <c r="X10" s="107">
        <f t="shared" si="3"/>
        <v>21157.130298203876</v>
      </c>
      <c r="Y10" s="109">
        <f t="shared" si="9"/>
        <v>1213312.131796638</v>
      </c>
      <c r="Z10" s="109">
        <f t="shared" si="9"/>
        <v>21157.130298203876</v>
      </c>
      <c r="AA10" s="109"/>
      <c r="AB10" s="109"/>
      <c r="AC10" s="109">
        <f>Z10-AA10-AB10</f>
        <v>21157.130298203876</v>
      </c>
      <c r="AD10" s="110">
        <v>0</v>
      </c>
      <c r="AE10" s="110">
        <f t="shared" ref="AE10:AE55" si="19">AC10/J10/L10/9*O10</f>
        <v>404437.37726554601</v>
      </c>
      <c r="AF10" s="110"/>
      <c r="AG10" s="111"/>
      <c r="AH10" s="111"/>
      <c r="AI10" s="111"/>
      <c r="AJ10" s="111"/>
      <c r="AK10" s="111"/>
      <c r="AL10" s="111">
        <f t="shared" si="10"/>
        <v>21157.130298203876</v>
      </c>
      <c r="AM10" s="111"/>
      <c r="AN10" s="111"/>
      <c r="AO10" s="111"/>
      <c r="AP10" s="111">
        <f t="shared" si="11"/>
        <v>21157.130298203876</v>
      </c>
      <c r="AQ10" s="111"/>
      <c r="AR10" s="111">
        <f t="shared" si="12"/>
        <v>21157.130298203876</v>
      </c>
      <c r="AS10" s="111">
        <v>-21157.13</v>
      </c>
      <c r="AT10" s="111">
        <v>0</v>
      </c>
      <c r="AU10" s="111">
        <f>AR10-AT10</f>
        <v>21157.130298203876</v>
      </c>
      <c r="AV10" s="111"/>
      <c r="AW10" s="111"/>
      <c r="AX10" s="111"/>
      <c r="AY10" s="111">
        <v>0</v>
      </c>
      <c r="AZ10" s="111"/>
      <c r="BA10" s="85">
        <f t="shared" si="13"/>
        <v>0</v>
      </c>
      <c r="BB10" s="85"/>
      <c r="BC10" s="85"/>
      <c r="BD10" s="85"/>
      <c r="BE10" s="85"/>
      <c r="BF10" s="85"/>
      <c r="BG10" s="85"/>
      <c r="BH10" s="111">
        <f t="shared" ref="BH10:BH72" si="20">BA10-BB10-BC10-BD10-BE10-BF10-BG10</f>
        <v>0</v>
      </c>
      <c r="BI10" s="111"/>
      <c r="BJ10" s="112">
        <f t="shared" si="4"/>
        <v>454992.04942373926</v>
      </c>
      <c r="BK10" s="112"/>
      <c r="BL10" s="112"/>
      <c r="BM10" s="113"/>
      <c r="BN10" s="113"/>
      <c r="BO10" s="113"/>
      <c r="BP10" s="113"/>
      <c r="BQ10" s="114">
        <f t="shared" si="14"/>
        <v>454992.04942373926</v>
      </c>
      <c r="BR10" s="114">
        <f t="shared" si="15"/>
        <v>519990.91362713056</v>
      </c>
      <c r="BS10" s="98"/>
      <c r="BT10" s="98"/>
      <c r="BU10" s="98"/>
      <c r="BV10" s="115">
        <f t="shared" si="16"/>
        <v>606656.06589831901</v>
      </c>
      <c r="BW10" s="115"/>
      <c r="BX10" s="116">
        <f t="shared" si="17"/>
        <v>940316.90214239433</v>
      </c>
      <c r="BY10" s="116">
        <v>0</v>
      </c>
      <c r="BZ10" s="116"/>
      <c r="CA10" s="116"/>
      <c r="CB10" s="116"/>
      <c r="CC10" s="116"/>
      <c r="CD10" s="116">
        <v>0</v>
      </c>
      <c r="CE10" s="116"/>
      <c r="CF10" s="116"/>
      <c r="CG10" s="116"/>
      <c r="CH10" s="116"/>
      <c r="CI10" s="116"/>
      <c r="CJ10" s="116"/>
      <c r="CK10" s="116">
        <v>0</v>
      </c>
      <c r="CL10" s="116">
        <f>AR10/K10/L10/N10*O10</f>
        <v>1880633.8042847887</v>
      </c>
      <c r="CM10" s="117"/>
      <c r="CN10" s="118" t="s">
        <v>95</v>
      </c>
    </row>
    <row r="11" spans="1:93" s="118" customFormat="1" ht="25.5" x14ac:dyDescent="0.2">
      <c r="A11" s="98">
        <f>A9+1</f>
        <v>3</v>
      </c>
      <c r="B11" s="99">
        <f t="shared" si="18"/>
        <v>4</v>
      </c>
      <c r="C11" s="100" t="s">
        <v>103</v>
      </c>
      <c r="D11" s="101" t="s">
        <v>104</v>
      </c>
      <c r="E11" s="100" t="s">
        <v>95</v>
      </c>
      <c r="F11" s="100" t="s">
        <v>96</v>
      </c>
      <c r="G11" s="103">
        <v>43556</v>
      </c>
      <c r="H11" s="103" t="s">
        <v>327</v>
      </c>
      <c r="I11" s="104">
        <v>1500000</v>
      </c>
      <c r="J11" s="105">
        <v>7.7499999999999999E-2</v>
      </c>
      <c r="K11" s="105">
        <v>7.4999999999999997E-2</v>
      </c>
      <c r="L11" s="106">
        <v>0.9</v>
      </c>
      <c r="M11" s="107">
        <v>8</v>
      </c>
      <c r="N11" s="107">
        <v>4</v>
      </c>
      <c r="O11" s="106">
        <v>12</v>
      </c>
      <c r="P11" s="107">
        <f t="shared" si="5"/>
        <v>69750</v>
      </c>
      <c r="Q11" s="107">
        <f t="shared" si="6"/>
        <v>909984.09884747851</v>
      </c>
      <c r="R11" s="107">
        <f t="shared" si="7"/>
        <v>42314.260596407752</v>
      </c>
      <c r="S11" s="107">
        <f t="shared" si="8"/>
        <v>27435.739403592248</v>
      </c>
      <c r="T11" s="108">
        <v>0.606656065898319</v>
      </c>
      <c r="U11" s="107"/>
      <c r="V11" s="106"/>
      <c r="W11" s="107">
        <f t="shared" si="3"/>
        <v>909984.09884747851</v>
      </c>
      <c r="X11" s="107">
        <f t="shared" si="3"/>
        <v>42314.260596407752</v>
      </c>
      <c r="Y11" s="109">
        <f t="shared" si="9"/>
        <v>909984.09884747851</v>
      </c>
      <c r="Z11" s="109">
        <f t="shared" si="9"/>
        <v>42314.260596407752</v>
      </c>
      <c r="AA11" s="109"/>
      <c r="AB11" s="109"/>
      <c r="AC11" s="109">
        <f t="shared" ref="AC11:AC88" si="21">Z11-AA11-AB11</f>
        <v>42314.260596407752</v>
      </c>
      <c r="AD11" s="110">
        <v>727987.27907798276</v>
      </c>
      <c r="AE11" s="110">
        <f t="shared" si="19"/>
        <v>808874.75453109201</v>
      </c>
      <c r="AF11" s="110"/>
      <c r="AG11" s="111"/>
      <c r="AH11" s="111"/>
      <c r="AI11" s="111"/>
      <c r="AJ11" s="111"/>
      <c r="AK11" s="111"/>
      <c r="AL11" s="111">
        <f t="shared" si="10"/>
        <v>42314.260596407752</v>
      </c>
      <c r="AM11" s="111"/>
      <c r="AN11" s="111"/>
      <c r="AO11" s="111"/>
      <c r="AP11" s="111">
        <f t="shared" si="11"/>
        <v>42314.260596407752</v>
      </c>
      <c r="AQ11" s="111"/>
      <c r="AR11" s="111">
        <f t="shared" si="12"/>
        <v>42314.260596407752</v>
      </c>
      <c r="AS11" s="111"/>
      <c r="AT11" s="111">
        <f>BY11*K11*L11*N11/O11</f>
        <v>33750</v>
      </c>
      <c r="AU11" s="111">
        <f>AR11-AT11</f>
        <v>8564.260596407752</v>
      </c>
      <c r="AV11" s="111"/>
      <c r="AW11" s="111"/>
      <c r="AX11" s="111">
        <v>33750</v>
      </c>
      <c r="AY11" s="111">
        <v>0</v>
      </c>
      <c r="AZ11" s="111"/>
      <c r="BA11" s="85">
        <f t="shared" si="13"/>
        <v>0</v>
      </c>
      <c r="BB11" s="85"/>
      <c r="BC11" s="85"/>
      <c r="BD11" s="85"/>
      <c r="BE11" s="85"/>
      <c r="BF11" s="85"/>
      <c r="BG11" s="85"/>
      <c r="BH11" s="111">
        <f t="shared" si="20"/>
        <v>0</v>
      </c>
      <c r="BI11" s="111"/>
      <c r="BJ11" s="112">
        <f t="shared" si="4"/>
        <v>909984.09884747851</v>
      </c>
      <c r="BK11" s="112"/>
      <c r="BL11" s="112"/>
      <c r="BM11" s="113"/>
      <c r="BN11" s="113"/>
      <c r="BO11" s="113"/>
      <c r="BP11" s="113"/>
      <c r="BQ11" s="114">
        <f t="shared" si="14"/>
        <v>909984.09884747851</v>
      </c>
      <c r="BR11" s="114">
        <f t="shared" si="15"/>
        <v>1039981.8272542611</v>
      </c>
      <c r="BS11" s="98"/>
      <c r="BT11" s="98"/>
      <c r="BU11" s="98"/>
      <c r="BV11" s="115">
        <f t="shared" si="16"/>
        <v>1213312.131796638</v>
      </c>
      <c r="BW11" s="115"/>
      <c r="BX11" s="116">
        <f t="shared" si="17"/>
        <v>1880633.8042847887</v>
      </c>
      <c r="BY11" s="116">
        <v>1500000</v>
      </c>
      <c r="BZ11" s="116"/>
      <c r="CA11" s="116"/>
      <c r="CB11" s="116">
        <v>1500000</v>
      </c>
      <c r="CC11" s="116"/>
      <c r="CD11" s="116">
        <v>0</v>
      </c>
      <c r="CE11" s="116"/>
      <c r="CF11" s="116"/>
      <c r="CG11" s="116"/>
      <c r="CH11" s="116"/>
      <c r="CI11" s="116"/>
      <c r="CJ11" s="116"/>
      <c r="CK11" s="116">
        <v>0</v>
      </c>
      <c r="CL11" s="116">
        <v>1500000</v>
      </c>
      <c r="CM11" s="119" t="s">
        <v>105</v>
      </c>
      <c r="CN11" s="120" t="s">
        <v>106</v>
      </c>
    </row>
    <row r="12" spans="1:93" s="120" customFormat="1" ht="25.5" x14ac:dyDescent="0.2">
      <c r="A12" s="98">
        <f>A11+1</f>
        <v>4</v>
      </c>
      <c r="B12" s="99">
        <f t="shared" si="18"/>
        <v>5</v>
      </c>
      <c r="C12" s="122" t="s">
        <v>107</v>
      </c>
      <c r="D12" s="123" t="s">
        <v>108</v>
      </c>
      <c r="E12" s="122" t="s">
        <v>95</v>
      </c>
      <c r="F12" s="100" t="s">
        <v>96</v>
      </c>
      <c r="G12" s="124">
        <v>43525</v>
      </c>
      <c r="H12" s="124">
        <v>43525</v>
      </c>
      <c r="I12" s="125">
        <v>3000000</v>
      </c>
      <c r="J12" s="126">
        <v>7.7499999999999999E-2</v>
      </c>
      <c r="K12" s="105">
        <v>7.4999999999999997E-2</v>
      </c>
      <c r="L12" s="127">
        <v>0.9</v>
      </c>
      <c r="M12" s="128">
        <v>9</v>
      </c>
      <c r="N12" s="128"/>
      <c r="O12" s="127">
        <v>12</v>
      </c>
      <c r="P12" s="128">
        <f t="shared" si="5"/>
        <v>156937.5</v>
      </c>
      <c r="Q12" s="128">
        <f t="shared" si="6"/>
        <v>1819968.197694957</v>
      </c>
      <c r="R12" s="128">
        <f t="shared" si="7"/>
        <v>95207.086341917442</v>
      </c>
      <c r="S12" s="128">
        <f t="shared" si="8"/>
        <v>61730.413658082558</v>
      </c>
      <c r="T12" s="129">
        <v>0.606656065898319</v>
      </c>
      <c r="U12" s="128"/>
      <c r="V12" s="127"/>
      <c r="W12" s="128">
        <f t="shared" si="3"/>
        <v>1819968.197694957</v>
      </c>
      <c r="X12" s="128">
        <f t="shared" si="3"/>
        <v>95207.086341917442</v>
      </c>
      <c r="Y12" s="130">
        <f t="shared" si="9"/>
        <v>1819968.197694957</v>
      </c>
      <c r="Z12" s="130">
        <f t="shared" si="9"/>
        <v>95207.086341917442</v>
      </c>
      <c r="AA12" s="130">
        <f>174375-31735.7-47432.21</f>
        <v>95207.09</v>
      </c>
      <c r="AB12" s="130"/>
      <c r="AC12" s="130">
        <f t="shared" si="21"/>
        <v>-3.6580825544660911E-3</v>
      </c>
      <c r="AD12" s="131">
        <v>1367923.674467897</v>
      </c>
      <c r="AE12" s="131">
        <f>AC12/J12/L12/9*O12</f>
        <v>-6.9927504028025639E-2</v>
      </c>
      <c r="AF12" s="131"/>
      <c r="AG12" s="132"/>
      <c r="AH12" s="132"/>
      <c r="AI12" s="132"/>
      <c r="AJ12" s="132"/>
      <c r="AK12" s="132"/>
      <c r="AL12" s="111">
        <f t="shared" si="10"/>
        <v>-3.6580825544660911E-3</v>
      </c>
      <c r="AM12" s="111"/>
      <c r="AN12" s="111"/>
      <c r="AO12" s="111"/>
      <c r="AP12" s="111">
        <f t="shared" si="11"/>
        <v>-3.6580825544660911E-3</v>
      </c>
      <c r="AQ12" s="111"/>
      <c r="AR12" s="111">
        <f t="shared" si="12"/>
        <v>-3.6580825544660911E-3</v>
      </c>
      <c r="AS12" s="111"/>
      <c r="AT12" s="111">
        <v>0</v>
      </c>
      <c r="AU12" s="111"/>
      <c r="AV12" s="111"/>
      <c r="AW12" s="111"/>
      <c r="AX12" s="111"/>
      <c r="AY12" s="111"/>
      <c r="AZ12" s="111"/>
      <c r="BA12" s="85">
        <f t="shared" si="13"/>
        <v>0</v>
      </c>
      <c r="BB12" s="85"/>
      <c r="BC12" s="85"/>
      <c r="BD12" s="85"/>
      <c r="BE12" s="85"/>
      <c r="BF12" s="85"/>
      <c r="BG12" s="85"/>
      <c r="BH12" s="111">
        <f t="shared" si="20"/>
        <v>0</v>
      </c>
      <c r="BI12" s="111"/>
      <c r="BJ12" s="133">
        <f t="shared" si="4"/>
        <v>-7.866844203152884E-2</v>
      </c>
      <c r="BK12" s="134"/>
      <c r="BL12" s="134"/>
      <c r="BM12" s="135"/>
      <c r="BN12" s="135"/>
      <c r="BO12" s="135"/>
      <c r="BP12" s="135"/>
      <c r="BQ12" s="114">
        <f t="shared" si="14"/>
        <v>-7.866844203152884E-2</v>
      </c>
      <c r="BR12" s="114">
        <f t="shared" si="15"/>
        <v>-8.9906790893175825E-2</v>
      </c>
      <c r="BS12" s="136"/>
      <c r="BT12" s="136"/>
      <c r="BU12" s="136"/>
      <c r="BV12" s="115">
        <f t="shared" si="16"/>
        <v>-0.10489125604203846</v>
      </c>
      <c r="BW12" s="115"/>
      <c r="BX12" s="116">
        <f t="shared" si="17"/>
        <v>-0.1625814468651596</v>
      </c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>
        <v>0</v>
      </c>
      <c r="CL12" s="116"/>
      <c r="CM12" s="119"/>
    </row>
    <row r="13" spans="1:93" s="118" customFormat="1" ht="38.25" x14ac:dyDescent="0.2">
      <c r="B13" s="99">
        <f t="shared" si="18"/>
        <v>6</v>
      </c>
      <c r="C13" s="100" t="s">
        <v>107</v>
      </c>
      <c r="D13" s="101" t="s">
        <v>108</v>
      </c>
      <c r="E13" s="99" t="s">
        <v>109</v>
      </c>
      <c r="F13" s="100" t="s">
        <v>96</v>
      </c>
      <c r="G13" s="103">
        <v>43525</v>
      </c>
      <c r="H13" s="103" t="s">
        <v>97</v>
      </c>
      <c r="I13" s="104">
        <v>2000000</v>
      </c>
      <c r="J13" s="105">
        <v>7.7499999999999999E-2</v>
      </c>
      <c r="K13" s="105">
        <v>7.4999999999999997E-2</v>
      </c>
      <c r="L13" s="106">
        <v>0.9</v>
      </c>
      <c r="M13" s="107">
        <v>9</v>
      </c>
      <c r="N13" s="107">
        <v>3</v>
      </c>
      <c r="O13" s="106">
        <v>12</v>
      </c>
      <c r="P13" s="107">
        <f t="shared" si="5"/>
        <v>104625</v>
      </c>
      <c r="Q13" s="107">
        <f t="shared" si="6"/>
        <v>1213312.131796638</v>
      </c>
      <c r="R13" s="107">
        <f t="shared" si="7"/>
        <v>63471.390894611628</v>
      </c>
      <c r="S13" s="107">
        <f t="shared" si="8"/>
        <v>41153.609105388372</v>
      </c>
      <c r="T13" s="108">
        <v>0.606656065898319</v>
      </c>
      <c r="U13" s="107"/>
      <c r="V13" s="106"/>
      <c r="W13" s="107">
        <f t="shared" si="3"/>
        <v>1213312.131796638</v>
      </c>
      <c r="X13" s="107">
        <f t="shared" si="3"/>
        <v>63471.390894611628</v>
      </c>
      <c r="Y13" s="109">
        <f t="shared" si="9"/>
        <v>1213312.131796638</v>
      </c>
      <c r="Z13" s="109">
        <f t="shared" si="9"/>
        <v>63471.390894611628</v>
      </c>
      <c r="AA13" s="137"/>
      <c r="AB13" s="137"/>
      <c r="AC13" s="109">
        <f t="shared" si="21"/>
        <v>63471.390894611628</v>
      </c>
      <c r="AD13" s="110">
        <v>0</v>
      </c>
      <c r="AE13" s="110">
        <f>AC13/J13/L13/9*O13</f>
        <v>1213312.131796638</v>
      </c>
      <c r="AF13" s="110"/>
      <c r="AG13" s="111"/>
      <c r="AH13" s="111"/>
      <c r="AI13" s="111"/>
      <c r="AJ13" s="111"/>
      <c r="AK13" s="111"/>
      <c r="AL13" s="111">
        <f t="shared" si="10"/>
        <v>63471.390894611628</v>
      </c>
      <c r="AM13" s="111"/>
      <c r="AN13" s="111"/>
      <c r="AO13" s="111">
        <v>52312.5</v>
      </c>
      <c r="AP13" s="111">
        <f t="shared" si="11"/>
        <v>11158.890894611628</v>
      </c>
      <c r="AQ13" s="111"/>
      <c r="AR13" s="111">
        <f t="shared" si="12"/>
        <v>11158.890894611628</v>
      </c>
      <c r="AS13" s="111"/>
      <c r="AT13" s="111">
        <v>11158.890975</v>
      </c>
      <c r="AU13" s="111">
        <f>AR13-AT13</f>
        <v>-8.0388372225570492E-5</v>
      </c>
      <c r="AV13" s="111"/>
      <c r="AW13" s="111"/>
      <c r="AX13" s="111"/>
      <c r="AY13" s="111"/>
      <c r="AZ13" s="111"/>
      <c r="BA13" s="85">
        <f t="shared" si="13"/>
        <v>0</v>
      </c>
      <c r="BB13" s="85"/>
      <c r="BC13" s="85"/>
      <c r="BD13" s="85"/>
      <c r="BE13" s="85"/>
      <c r="BF13" s="85"/>
      <c r="BG13" s="85"/>
      <c r="BH13" s="111">
        <f t="shared" si="20"/>
        <v>0</v>
      </c>
      <c r="BI13" s="111"/>
      <c r="BJ13" s="112">
        <f t="shared" si="4"/>
        <v>1364976.1482712177</v>
      </c>
      <c r="BK13" s="112"/>
      <c r="BL13" s="112"/>
      <c r="BM13" s="113"/>
      <c r="BN13" s="113"/>
      <c r="BO13" s="113"/>
      <c r="BP13" s="113"/>
      <c r="BQ13" s="114">
        <f t="shared" si="14"/>
        <v>1364976.1482712177</v>
      </c>
      <c r="BR13" s="114">
        <f t="shared" si="15"/>
        <v>1559972.7408813918</v>
      </c>
      <c r="BS13" s="98"/>
      <c r="BT13" s="98"/>
      <c r="BU13" s="116">
        <v>1500000</v>
      </c>
      <c r="BV13" s="115">
        <f t="shared" si="16"/>
        <v>319968.19769495708</v>
      </c>
      <c r="BW13" s="115"/>
      <c r="BX13" s="116">
        <f t="shared" si="17"/>
        <v>495950.70642718347</v>
      </c>
      <c r="BY13" s="116">
        <f>AT13/K13/L13/N13*O13</f>
        <v>661267.6133333334</v>
      </c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>
        <v>0</v>
      </c>
      <c r="CL13" s="116"/>
      <c r="CM13" s="117"/>
      <c r="CN13" s="99" t="s">
        <v>109</v>
      </c>
    </row>
    <row r="14" spans="1:93" s="120" customFormat="1" ht="25.5" x14ac:dyDescent="0.2">
      <c r="B14" s="99">
        <f t="shared" si="18"/>
        <v>7</v>
      </c>
      <c r="C14" s="122" t="s">
        <v>107</v>
      </c>
      <c r="D14" s="123" t="s">
        <v>108</v>
      </c>
      <c r="E14" s="122" t="s">
        <v>95</v>
      </c>
      <c r="F14" s="100" t="s">
        <v>96</v>
      </c>
      <c r="G14" s="124">
        <v>43525</v>
      </c>
      <c r="H14" s="124">
        <v>43525</v>
      </c>
      <c r="I14" s="125">
        <v>1000000</v>
      </c>
      <c r="J14" s="126">
        <v>7.7499999999999999E-2</v>
      </c>
      <c r="K14" s="105">
        <v>7.4999999999999997E-2</v>
      </c>
      <c r="L14" s="127">
        <v>0.9</v>
      </c>
      <c r="M14" s="128">
        <v>9</v>
      </c>
      <c r="N14" s="128"/>
      <c r="O14" s="127">
        <v>12</v>
      </c>
      <c r="P14" s="128">
        <f t="shared" si="5"/>
        <v>52312.5</v>
      </c>
      <c r="Q14" s="128">
        <f t="shared" si="6"/>
        <v>606656.06589831901</v>
      </c>
      <c r="R14" s="128">
        <f>Q14*J14*L14*M14/O14</f>
        <v>31735.695447305814</v>
      </c>
      <c r="S14" s="128">
        <f t="shared" si="8"/>
        <v>20576.804552694186</v>
      </c>
      <c r="T14" s="129">
        <v>0.606656065898319</v>
      </c>
      <c r="U14" s="128"/>
      <c r="V14" s="127"/>
      <c r="W14" s="128">
        <f t="shared" si="3"/>
        <v>606656.06589831901</v>
      </c>
      <c r="X14" s="128">
        <f>R14-V14</f>
        <v>31735.695447305814</v>
      </c>
      <c r="Y14" s="130">
        <f t="shared" si="9"/>
        <v>606656.06589831901</v>
      </c>
      <c r="Z14" s="130">
        <f>SUM(X14)</f>
        <v>31735.695447305814</v>
      </c>
      <c r="AA14" s="138">
        <v>31735.7</v>
      </c>
      <c r="AB14" s="138"/>
      <c r="AC14" s="130">
        <f>Z14-AA14-AB14</f>
        <v>-4.5526941867137793E-3</v>
      </c>
      <c r="AD14" s="131">
        <v>0</v>
      </c>
      <c r="AE14" s="131">
        <f>AC14/J14/L14/9*O14</f>
        <v>-8.702880165761108E-2</v>
      </c>
      <c r="AF14" s="131"/>
      <c r="AG14" s="132"/>
      <c r="AH14" s="132"/>
      <c r="AI14" s="132"/>
      <c r="AJ14" s="132"/>
      <c r="AK14" s="132"/>
      <c r="AL14" s="111">
        <f t="shared" si="10"/>
        <v>-4.5526941867137793E-3</v>
      </c>
      <c r="AM14" s="111"/>
      <c r="AN14" s="111"/>
      <c r="AO14" s="111"/>
      <c r="AP14" s="111">
        <f t="shared" si="11"/>
        <v>-4.5526941867137793E-3</v>
      </c>
      <c r="AQ14" s="111"/>
      <c r="AR14" s="111">
        <f t="shared" si="12"/>
        <v>-4.5526941867137793E-3</v>
      </c>
      <c r="AS14" s="111"/>
      <c r="AT14" s="111">
        <v>0</v>
      </c>
      <c r="AU14" s="111"/>
      <c r="AV14" s="111"/>
      <c r="AW14" s="111"/>
      <c r="AX14" s="111"/>
      <c r="AY14" s="111"/>
      <c r="AZ14" s="111"/>
      <c r="BA14" s="85">
        <f t="shared" si="13"/>
        <v>0</v>
      </c>
      <c r="BB14" s="85"/>
      <c r="BC14" s="85"/>
      <c r="BD14" s="85"/>
      <c r="BE14" s="85"/>
      <c r="BF14" s="85"/>
      <c r="BG14" s="85"/>
      <c r="BH14" s="111">
        <f t="shared" si="20"/>
        <v>0</v>
      </c>
      <c r="BI14" s="111"/>
      <c r="BJ14" s="133">
        <f t="shared" si="4"/>
        <v>-9.7907401864812477E-2</v>
      </c>
      <c r="BK14" s="134"/>
      <c r="BL14" s="134"/>
      <c r="BM14" s="135"/>
      <c r="BN14" s="135"/>
      <c r="BO14" s="135"/>
      <c r="BP14" s="135"/>
      <c r="BQ14" s="114">
        <f t="shared" si="14"/>
        <v>-9.7907401864812477E-2</v>
      </c>
      <c r="BR14" s="114">
        <f t="shared" si="15"/>
        <v>-0.11189417355978568</v>
      </c>
      <c r="BS14" s="136"/>
      <c r="BT14" s="136"/>
      <c r="BU14" s="136"/>
      <c r="BV14" s="115">
        <f t="shared" si="16"/>
        <v>-0.13054320248641663</v>
      </c>
      <c r="BW14" s="115"/>
      <c r="BX14" s="116">
        <f t="shared" si="17"/>
        <v>-0.20234196385394576</v>
      </c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>
        <v>0</v>
      </c>
      <c r="CL14" s="116"/>
      <c r="CM14" s="119"/>
    </row>
    <row r="15" spans="1:93" s="118" customFormat="1" ht="25.5" x14ac:dyDescent="0.2">
      <c r="B15" s="99">
        <f t="shared" si="18"/>
        <v>8</v>
      </c>
      <c r="C15" s="100" t="s">
        <v>107</v>
      </c>
      <c r="D15" s="101" t="s">
        <v>108</v>
      </c>
      <c r="E15" s="100" t="s">
        <v>95</v>
      </c>
      <c r="F15" s="100" t="s">
        <v>96</v>
      </c>
      <c r="G15" s="103">
        <v>43617</v>
      </c>
      <c r="H15" s="103" t="s">
        <v>97</v>
      </c>
      <c r="I15" s="104">
        <v>3000000</v>
      </c>
      <c r="J15" s="105">
        <v>7.7499999999999999E-2</v>
      </c>
      <c r="K15" s="105">
        <v>7.4999999999999997E-2</v>
      </c>
      <c r="L15" s="106">
        <v>0.9</v>
      </c>
      <c r="M15" s="107">
        <v>6</v>
      </c>
      <c r="N15" s="107">
        <v>3</v>
      </c>
      <c r="O15" s="106">
        <v>12</v>
      </c>
      <c r="P15" s="107">
        <f t="shared" si="5"/>
        <v>104625</v>
      </c>
      <c r="Q15" s="107">
        <f t="shared" si="6"/>
        <v>1819968.197694957</v>
      </c>
      <c r="R15" s="107">
        <f t="shared" si="7"/>
        <v>63471.390894611628</v>
      </c>
      <c r="S15" s="107">
        <f t="shared" si="8"/>
        <v>41153.609105388372</v>
      </c>
      <c r="T15" s="108">
        <v>0.606656065898319</v>
      </c>
      <c r="U15" s="107"/>
      <c r="V15" s="106"/>
      <c r="W15" s="107">
        <f t="shared" si="3"/>
        <v>1819968.197694957</v>
      </c>
      <c r="X15" s="107">
        <f t="shared" si="3"/>
        <v>63471.390894611628</v>
      </c>
      <c r="Y15" s="109">
        <f t="shared" si="9"/>
        <v>1819968.197694957</v>
      </c>
      <c r="Z15" s="109">
        <f t="shared" si="9"/>
        <v>63471.390894611628</v>
      </c>
      <c r="AA15" s="137">
        <v>47432.21</v>
      </c>
      <c r="AB15" s="137"/>
      <c r="AC15" s="109">
        <f t="shared" si="21"/>
        <v>16039.180894611629</v>
      </c>
      <c r="AD15" s="110">
        <v>0</v>
      </c>
      <c r="AE15" s="110">
        <f t="shared" si="19"/>
        <v>306603.21901288658</v>
      </c>
      <c r="AF15" s="110"/>
      <c r="AG15" s="111"/>
      <c r="AH15" s="111"/>
      <c r="AI15" s="111"/>
      <c r="AJ15" s="111"/>
      <c r="AK15" s="111"/>
      <c r="AL15" s="111">
        <f t="shared" si="10"/>
        <v>16039.180894611629</v>
      </c>
      <c r="AM15" s="111"/>
      <c r="AN15" s="111"/>
      <c r="AO15" s="111"/>
      <c r="AP15" s="111">
        <f t="shared" si="11"/>
        <v>16039.180894611629</v>
      </c>
      <c r="AQ15" s="111"/>
      <c r="AR15" s="111">
        <f t="shared" si="12"/>
        <v>16039.180894611629</v>
      </c>
      <c r="AS15" s="111"/>
      <c r="AT15" s="111">
        <f>9091.11+6948.07</f>
        <v>16039.18</v>
      </c>
      <c r="AU15" s="111">
        <f>AR15-AT15</f>
        <v>8.9461162860970944E-4</v>
      </c>
      <c r="AV15" s="111"/>
      <c r="AW15" s="111"/>
      <c r="AX15" s="111">
        <v>27000</v>
      </c>
      <c r="AY15" s="111">
        <f>AT13+AT15-AX15</f>
        <v>198.07097500000236</v>
      </c>
      <c r="AZ15" s="111"/>
      <c r="BA15" s="85">
        <f t="shared" si="13"/>
        <v>198.07097500000236</v>
      </c>
      <c r="BB15" s="85"/>
      <c r="BC15" s="85"/>
      <c r="BD15" s="85"/>
      <c r="BE15" s="85"/>
      <c r="BF15" s="85"/>
      <c r="BG15" s="85"/>
      <c r="BH15" s="111">
        <f t="shared" si="20"/>
        <v>198.07097500000236</v>
      </c>
      <c r="BI15" s="111"/>
      <c r="BJ15" s="112">
        <f t="shared" si="4"/>
        <v>344928.62138949742</v>
      </c>
      <c r="BK15" s="112"/>
      <c r="BL15" s="112"/>
      <c r="BM15" s="113"/>
      <c r="BN15" s="113"/>
      <c r="BO15" s="113"/>
      <c r="BP15" s="113"/>
      <c r="BQ15" s="114">
        <f t="shared" si="14"/>
        <v>344928.62138949742</v>
      </c>
      <c r="BR15" s="114">
        <f t="shared" si="15"/>
        <v>394204.13873085426</v>
      </c>
      <c r="BS15" s="98"/>
      <c r="BT15" s="98"/>
      <c r="BU15" s="98"/>
      <c r="BV15" s="115">
        <f t="shared" si="16"/>
        <v>459904.82851932989</v>
      </c>
      <c r="BW15" s="115"/>
      <c r="BX15" s="116">
        <f t="shared" si="17"/>
        <v>712852.48420496122</v>
      </c>
      <c r="BY15" s="116">
        <f>AT15/K15/L15/N15*O15</f>
        <v>950469.92592592607</v>
      </c>
      <c r="BZ15" s="116"/>
      <c r="CA15" s="116"/>
      <c r="CB15" s="116">
        <v>1200000</v>
      </c>
      <c r="CC15" s="116"/>
      <c r="CD15" s="116">
        <f>AY15/7.5%/0.9*3/12</f>
        <v>733.59620370371249</v>
      </c>
      <c r="CE15" s="116"/>
      <c r="CF15" s="116"/>
      <c r="CG15" s="116"/>
      <c r="CH15" s="116"/>
      <c r="CI15" s="116"/>
      <c r="CJ15" s="116"/>
      <c r="CK15" s="116">
        <v>0</v>
      </c>
      <c r="CL15" s="116"/>
      <c r="CM15" s="117"/>
      <c r="CN15" s="118" t="s">
        <v>95</v>
      </c>
    </row>
    <row r="16" spans="1:93" s="118" customFormat="1" x14ac:dyDescent="0.2">
      <c r="B16" s="99">
        <f t="shared" si="18"/>
        <v>9</v>
      </c>
      <c r="C16" s="100" t="s">
        <v>110</v>
      </c>
      <c r="D16" s="101" t="s">
        <v>111</v>
      </c>
      <c r="E16" s="100" t="s">
        <v>106</v>
      </c>
      <c r="F16" s="100" t="s">
        <v>96</v>
      </c>
      <c r="G16" s="103"/>
      <c r="H16" s="103" t="s">
        <v>142</v>
      </c>
      <c r="I16" s="104">
        <v>0</v>
      </c>
      <c r="J16" s="105"/>
      <c r="K16" s="105">
        <v>7.4999999999999997E-2</v>
      </c>
      <c r="L16" s="106">
        <v>0.9</v>
      </c>
      <c r="M16" s="107">
        <v>6</v>
      </c>
      <c r="N16" s="107">
        <v>4</v>
      </c>
      <c r="O16" s="106">
        <v>12</v>
      </c>
      <c r="P16" s="107"/>
      <c r="Q16" s="107">
        <f t="shared" si="6"/>
        <v>0</v>
      </c>
      <c r="R16" s="107"/>
      <c r="S16" s="107"/>
      <c r="T16" s="108"/>
      <c r="U16" s="107"/>
      <c r="V16" s="106"/>
      <c r="W16" s="107">
        <f t="shared" si="3"/>
        <v>0</v>
      </c>
      <c r="X16" s="107"/>
      <c r="Y16" s="109">
        <f t="shared" si="9"/>
        <v>0</v>
      </c>
      <c r="Z16" s="109"/>
      <c r="AA16" s="137"/>
      <c r="AB16" s="137"/>
      <c r="AC16" s="109"/>
      <c r="AD16" s="110"/>
      <c r="AE16" s="110"/>
      <c r="AF16" s="110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>
        <f t="shared" si="12"/>
        <v>0</v>
      </c>
      <c r="AS16" s="111"/>
      <c r="AT16" s="111">
        <v>0</v>
      </c>
      <c r="AU16" s="111">
        <f>AR16-AT16</f>
        <v>0</v>
      </c>
      <c r="AV16" s="111"/>
      <c r="AW16" s="111"/>
      <c r="AX16" s="111"/>
      <c r="AY16" s="111"/>
      <c r="AZ16" s="111"/>
      <c r="BA16" s="111">
        <f>CL16*7.25%*3.5/12</f>
        <v>8458.3333333333321</v>
      </c>
      <c r="BB16" s="111"/>
      <c r="BC16" s="111"/>
      <c r="BD16" s="111"/>
      <c r="BE16" s="111"/>
      <c r="BF16" s="111"/>
      <c r="BG16" s="111"/>
      <c r="BH16" s="227">
        <f>BA16-BB16-BC16-BD16-BE16-BF16-BG16-8458.33</f>
        <v>3.3333333321934333E-3</v>
      </c>
      <c r="BI16" s="227"/>
      <c r="BJ16" s="112"/>
      <c r="BK16" s="112"/>
      <c r="BL16" s="112"/>
      <c r="BM16" s="113"/>
      <c r="BN16" s="113"/>
      <c r="BO16" s="113"/>
      <c r="BP16" s="113"/>
      <c r="BQ16" s="114"/>
      <c r="BR16" s="114"/>
      <c r="BS16" s="98"/>
      <c r="BT16" s="98"/>
      <c r="BU16" s="98"/>
      <c r="BV16" s="115"/>
      <c r="BW16" s="115"/>
      <c r="BX16" s="116">
        <f t="shared" si="17"/>
        <v>0</v>
      </c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>
        <v>0</v>
      </c>
      <c r="CL16" s="116">
        <v>400000</v>
      </c>
      <c r="CM16" s="119" t="s">
        <v>112</v>
      </c>
      <c r="CN16" s="120" t="s">
        <v>106</v>
      </c>
    </row>
    <row r="17" spans="1:93" s="120" customFormat="1" ht="25.5" x14ac:dyDescent="0.2">
      <c r="A17" s="136">
        <f>A12+1</f>
        <v>5</v>
      </c>
      <c r="B17" s="99">
        <f t="shared" si="18"/>
        <v>10</v>
      </c>
      <c r="C17" s="122" t="s">
        <v>113</v>
      </c>
      <c r="D17" s="123" t="s">
        <v>114</v>
      </c>
      <c r="E17" s="122" t="s">
        <v>95</v>
      </c>
      <c r="F17" s="100" t="s">
        <v>96</v>
      </c>
      <c r="G17" s="124">
        <v>43497</v>
      </c>
      <c r="H17" s="124">
        <v>43497</v>
      </c>
      <c r="I17" s="125">
        <v>5000000</v>
      </c>
      <c r="J17" s="126">
        <v>7.7499999999999999E-2</v>
      </c>
      <c r="K17" s="105">
        <v>7.4999999999999997E-2</v>
      </c>
      <c r="L17" s="127">
        <v>0.9</v>
      </c>
      <c r="M17" s="128">
        <v>10</v>
      </c>
      <c r="N17" s="128"/>
      <c r="O17" s="127">
        <v>12</v>
      </c>
      <c r="P17" s="128">
        <f t="shared" si="5"/>
        <v>290625</v>
      </c>
      <c r="Q17" s="128">
        <f t="shared" si="6"/>
        <v>3033280.3294915948</v>
      </c>
      <c r="R17" s="128">
        <f t="shared" si="7"/>
        <v>176309.41915169894</v>
      </c>
      <c r="S17" s="128">
        <f t="shared" si="8"/>
        <v>114315.58084830106</v>
      </c>
      <c r="T17" s="129">
        <v>0.606656065898319</v>
      </c>
      <c r="U17" s="128">
        <v>6000000</v>
      </c>
      <c r="V17" s="141">
        <v>348750</v>
      </c>
      <c r="W17" s="128">
        <f t="shared" si="3"/>
        <v>-2966719.6705084052</v>
      </c>
      <c r="X17" s="128">
        <f t="shared" si="3"/>
        <v>-172440.58084830106</v>
      </c>
      <c r="Y17" s="130">
        <f t="shared" si="9"/>
        <v>-2966719.6705084052</v>
      </c>
      <c r="Z17" s="130">
        <f t="shared" si="9"/>
        <v>-172440.58084830106</v>
      </c>
      <c r="AA17" s="130"/>
      <c r="AB17" s="130"/>
      <c r="AC17" s="130">
        <f t="shared" si="21"/>
        <v>-172440.58084830106</v>
      </c>
      <c r="AD17" s="131">
        <v>-2966719.6705084052</v>
      </c>
      <c r="AE17" s="131">
        <f t="shared" si="19"/>
        <v>-3296355.1894537839</v>
      </c>
      <c r="AF17" s="131"/>
      <c r="AG17" s="132"/>
      <c r="AH17" s="132"/>
      <c r="AI17" s="132"/>
      <c r="AJ17" s="132"/>
      <c r="AK17" s="132"/>
      <c r="AL17" s="111">
        <f t="shared" si="10"/>
        <v>-172440.58084830106</v>
      </c>
      <c r="AM17" s="111"/>
      <c r="AN17" s="111"/>
      <c r="AO17" s="111"/>
      <c r="AP17" s="111">
        <f t="shared" si="11"/>
        <v>-172440.58084830106</v>
      </c>
      <c r="AQ17" s="111"/>
      <c r="AR17" s="111">
        <f t="shared" si="12"/>
        <v>-172440.58084830106</v>
      </c>
      <c r="AS17" s="111"/>
      <c r="AT17" s="111">
        <v>0</v>
      </c>
      <c r="AU17" s="111"/>
      <c r="AV17" s="111"/>
      <c r="AW17" s="111"/>
      <c r="AX17" s="111"/>
      <c r="AY17" s="111"/>
      <c r="AZ17" s="111"/>
      <c r="BA17" s="85">
        <f t="shared" si="13"/>
        <v>0</v>
      </c>
      <c r="BB17" s="85"/>
      <c r="BC17" s="85"/>
      <c r="BD17" s="85"/>
      <c r="BE17" s="85"/>
      <c r="BF17" s="85"/>
      <c r="BG17" s="85"/>
      <c r="BH17" s="111">
        <f t="shared" si="20"/>
        <v>0</v>
      </c>
      <c r="BI17" s="111"/>
      <c r="BJ17" s="133">
        <f t="shared" si="4"/>
        <v>-3708399.588135507</v>
      </c>
      <c r="BK17" s="134"/>
      <c r="BL17" s="134"/>
      <c r="BM17" s="135"/>
      <c r="BN17" s="135"/>
      <c r="BO17" s="135"/>
      <c r="BP17" s="135"/>
      <c r="BQ17" s="114">
        <f t="shared" si="14"/>
        <v>-3708399.588135507</v>
      </c>
      <c r="BR17" s="114">
        <f t="shared" si="15"/>
        <v>-4238170.9578691507</v>
      </c>
      <c r="BS17" s="136"/>
      <c r="BT17" s="136"/>
      <c r="BU17" s="136"/>
      <c r="BV17" s="115">
        <f t="shared" si="16"/>
        <v>-4944532.7841806756</v>
      </c>
      <c r="BW17" s="115"/>
      <c r="BX17" s="142">
        <f t="shared" si="17"/>
        <v>-7664025.815480046</v>
      </c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16">
        <v>0</v>
      </c>
      <c r="CL17" s="116"/>
      <c r="CM17" s="119"/>
    </row>
    <row r="18" spans="1:93" s="2" customFormat="1" ht="20.25" customHeight="1" x14ac:dyDescent="0.2">
      <c r="A18" s="215">
        <f>A17+1</f>
        <v>6</v>
      </c>
      <c r="B18" s="145">
        <f t="shared" si="18"/>
        <v>11</v>
      </c>
      <c r="C18" s="148" t="s">
        <v>115</v>
      </c>
      <c r="D18" s="164" t="s">
        <v>116</v>
      </c>
      <c r="E18" s="148" t="s">
        <v>95</v>
      </c>
      <c r="F18" s="148" t="s">
        <v>96</v>
      </c>
      <c r="G18" s="149">
        <v>43497</v>
      </c>
      <c r="H18" s="149" t="s">
        <v>117</v>
      </c>
      <c r="I18" s="150">
        <v>5000000</v>
      </c>
      <c r="J18" s="151">
        <v>7.7499999999999999E-2</v>
      </c>
      <c r="K18" s="151">
        <v>7.2499999999999995E-2</v>
      </c>
      <c r="L18" s="152">
        <v>0.9</v>
      </c>
      <c r="M18" s="153">
        <v>10</v>
      </c>
      <c r="N18" s="153">
        <v>2</v>
      </c>
      <c r="O18" s="152">
        <v>12</v>
      </c>
      <c r="P18" s="153">
        <f t="shared" si="5"/>
        <v>290625</v>
      </c>
      <c r="Q18" s="153">
        <f t="shared" si="6"/>
        <v>3033280.3294915948</v>
      </c>
      <c r="R18" s="153">
        <f t="shared" si="7"/>
        <v>176309.41915169894</v>
      </c>
      <c r="S18" s="153">
        <f t="shared" si="8"/>
        <v>114315.58084830106</v>
      </c>
      <c r="T18" s="154">
        <v>0.606656065898319</v>
      </c>
      <c r="U18" s="373">
        <v>3000000</v>
      </c>
      <c r="V18" s="374">
        <v>137590</v>
      </c>
      <c r="W18" s="153">
        <f t="shared" si="3"/>
        <v>33280.329491594806</v>
      </c>
      <c r="X18" s="153">
        <f t="shared" si="3"/>
        <v>38719.419151698938</v>
      </c>
      <c r="Y18" s="155">
        <f t="shared" si="9"/>
        <v>33280.329491594806</v>
      </c>
      <c r="Z18" s="155">
        <f t="shared" si="9"/>
        <v>38719.419151698938</v>
      </c>
      <c r="AA18" s="155"/>
      <c r="AB18" s="155"/>
      <c r="AC18" s="155">
        <f t="shared" si="21"/>
        <v>38719.419151698938</v>
      </c>
      <c r="AD18" s="156">
        <v>666140.54454535805</v>
      </c>
      <c r="AE18" s="156">
        <f t="shared" si="19"/>
        <v>740156.16060595331</v>
      </c>
      <c r="AF18" s="156"/>
      <c r="AG18" s="83"/>
      <c r="AH18" s="83"/>
      <c r="AI18" s="83"/>
      <c r="AJ18" s="83"/>
      <c r="AK18" s="83"/>
      <c r="AL18" s="83">
        <f t="shared" si="10"/>
        <v>38719.419151698938</v>
      </c>
      <c r="AM18" s="83"/>
      <c r="AN18" s="83"/>
      <c r="AO18" s="83"/>
      <c r="AP18" s="83">
        <f t="shared" si="11"/>
        <v>38719.419151698938</v>
      </c>
      <c r="AQ18" s="83"/>
      <c r="AR18" s="83">
        <f t="shared" si="12"/>
        <v>38719.419151698938</v>
      </c>
      <c r="AS18" s="83"/>
      <c r="AT18" s="83">
        <f>BY18*K18*L18*N18/O18</f>
        <v>21750</v>
      </c>
      <c r="AU18" s="83">
        <f t="shared" ref="AU18:AU26" si="22">AR18-AT18</f>
        <v>16969.419151698938</v>
      </c>
      <c r="AV18" s="83"/>
      <c r="AW18" s="83"/>
      <c r="AX18" s="83"/>
      <c r="AY18" s="83">
        <v>33750</v>
      </c>
      <c r="AZ18" s="83"/>
      <c r="BA18" s="83">
        <f t="shared" si="13"/>
        <v>33750</v>
      </c>
      <c r="BB18" s="83">
        <v>19988.759999999998</v>
      </c>
      <c r="BC18" s="83"/>
      <c r="BD18" s="83"/>
      <c r="BE18" s="83"/>
      <c r="BF18" s="83"/>
      <c r="BG18" s="83"/>
      <c r="BH18" s="83">
        <f t="shared" si="20"/>
        <v>13761.240000000002</v>
      </c>
      <c r="BI18" s="83">
        <f>CK18*K18*L18*N18/O18</f>
        <v>21750</v>
      </c>
      <c r="BJ18" s="159">
        <f t="shared" si="4"/>
        <v>832675.68068169756</v>
      </c>
      <c r="BK18" s="159"/>
      <c r="BL18" s="159"/>
      <c r="BM18" s="89"/>
      <c r="BN18" s="89"/>
      <c r="BO18" s="89"/>
      <c r="BP18" s="89"/>
      <c r="BQ18" s="160">
        <f t="shared" si="14"/>
        <v>832675.68068169756</v>
      </c>
      <c r="BR18" s="160">
        <f t="shared" si="15"/>
        <v>951629.34935051145</v>
      </c>
      <c r="BS18" s="161"/>
      <c r="BT18" s="161"/>
      <c r="BU18" s="161"/>
      <c r="BV18" s="162">
        <f t="shared" si="16"/>
        <v>1110234.2409089301</v>
      </c>
      <c r="BW18" s="162"/>
      <c r="BX18" s="95">
        <f>AR18/K18/L18/3*O18</f>
        <v>2373604.2391846096</v>
      </c>
      <c r="BY18" s="95">
        <v>2000000</v>
      </c>
      <c r="BZ18" s="95"/>
      <c r="CA18" s="95"/>
      <c r="CB18" s="95"/>
      <c r="CC18" s="95"/>
      <c r="CD18" s="95">
        <v>2000000</v>
      </c>
      <c r="CE18" s="95">
        <v>1000000</v>
      </c>
      <c r="CF18" s="95"/>
      <c r="CG18" s="95"/>
      <c r="CH18" s="95"/>
      <c r="CI18" s="95"/>
      <c r="CJ18" s="95"/>
      <c r="CK18" s="95">
        <v>2000000</v>
      </c>
      <c r="CL18" s="95">
        <v>3000000</v>
      </c>
      <c r="CM18" s="163" t="s">
        <v>118</v>
      </c>
      <c r="CN18" s="2" t="s">
        <v>95</v>
      </c>
    </row>
    <row r="19" spans="1:93" s="118" customFormat="1" ht="25.5" x14ac:dyDescent="0.2">
      <c r="A19" s="136">
        <f>A18+1</f>
        <v>7</v>
      </c>
      <c r="B19" s="99">
        <f t="shared" si="18"/>
        <v>12</v>
      </c>
      <c r="C19" s="100" t="s">
        <v>119</v>
      </c>
      <c r="D19" s="101" t="s">
        <v>120</v>
      </c>
      <c r="E19" s="100" t="s">
        <v>95</v>
      </c>
      <c r="F19" s="100" t="s">
        <v>96</v>
      </c>
      <c r="G19" s="103">
        <v>43586</v>
      </c>
      <c r="H19" s="103" t="s">
        <v>121</v>
      </c>
      <c r="I19" s="104">
        <v>1500000</v>
      </c>
      <c r="J19" s="105">
        <v>7.7499999999999999E-2</v>
      </c>
      <c r="K19" s="105">
        <v>7.4999999999999997E-2</v>
      </c>
      <c r="L19" s="106">
        <v>0.9</v>
      </c>
      <c r="M19" s="107">
        <v>7</v>
      </c>
      <c r="N19" s="107">
        <v>4</v>
      </c>
      <c r="O19" s="106">
        <v>12</v>
      </c>
      <c r="P19" s="107">
        <f t="shared" si="5"/>
        <v>61031.25</v>
      </c>
      <c r="Q19" s="107">
        <f t="shared" si="6"/>
        <v>909984.09884747851</v>
      </c>
      <c r="R19" s="107">
        <f t="shared" si="7"/>
        <v>37024.978021856783</v>
      </c>
      <c r="S19" s="107">
        <f t="shared" si="8"/>
        <v>24006.271978143217</v>
      </c>
      <c r="T19" s="108">
        <v>0.606656065898319</v>
      </c>
      <c r="U19" s="107"/>
      <c r="V19" s="106"/>
      <c r="W19" s="107">
        <f t="shared" si="3"/>
        <v>909984.09884747851</v>
      </c>
      <c r="X19" s="107">
        <f t="shared" si="3"/>
        <v>37024.978021856783</v>
      </c>
      <c r="Y19" s="109">
        <f t="shared" si="9"/>
        <v>909984.09884747851</v>
      </c>
      <c r="Z19" s="109">
        <f t="shared" si="9"/>
        <v>37024.978021856783</v>
      </c>
      <c r="AA19" s="109"/>
      <c r="AB19" s="109"/>
      <c r="AC19" s="109">
        <f t="shared" si="21"/>
        <v>37024.978021856783</v>
      </c>
      <c r="AD19" s="110">
        <v>636988.86919323495</v>
      </c>
      <c r="AE19" s="110">
        <f t="shared" si="19"/>
        <v>707765.41021470551</v>
      </c>
      <c r="AF19" s="110"/>
      <c r="AG19" s="111"/>
      <c r="AH19" s="111"/>
      <c r="AI19" s="111"/>
      <c r="AJ19" s="111"/>
      <c r="AK19" s="111"/>
      <c r="AL19" s="111">
        <f t="shared" si="10"/>
        <v>37024.978021856783</v>
      </c>
      <c r="AM19" s="111"/>
      <c r="AN19" s="111"/>
      <c r="AO19" s="111"/>
      <c r="AP19" s="111">
        <f t="shared" si="11"/>
        <v>37024.978021856783</v>
      </c>
      <c r="AQ19" s="111"/>
      <c r="AR19" s="111">
        <f t="shared" si="12"/>
        <v>37024.978021856783</v>
      </c>
      <c r="AS19" s="111"/>
      <c r="AT19" s="111">
        <v>33750</v>
      </c>
      <c r="AU19" s="111">
        <f t="shared" si="22"/>
        <v>3274.978021856783</v>
      </c>
      <c r="AV19" s="111"/>
      <c r="AW19" s="111">
        <v>33750</v>
      </c>
      <c r="AX19" s="111"/>
      <c r="AY19" s="111">
        <v>0</v>
      </c>
      <c r="AZ19" s="111"/>
      <c r="BA19" s="85">
        <f t="shared" si="13"/>
        <v>0</v>
      </c>
      <c r="BB19" s="85"/>
      <c r="BC19" s="85"/>
      <c r="BD19" s="85"/>
      <c r="BE19" s="85"/>
      <c r="BF19" s="85"/>
      <c r="BG19" s="85"/>
      <c r="BH19" s="111">
        <f t="shared" si="20"/>
        <v>0</v>
      </c>
      <c r="BI19" s="111"/>
      <c r="BJ19" s="112">
        <f t="shared" si="4"/>
        <v>796236.0864915438</v>
      </c>
      <c r="BK19" s="112"/>
      <c r="BL19" s="112"/>
      <c r="BM19" s="113"/>
      <c r="BN19" s="113"/>
      <c r="BO19" s="113"/>
      <c r="BP19" s="113"/>
      <c r="BQ19" s="114">
        <f t="shared" si="14"/>
        <v>796236.0864915438</v>
      </c>
      <c r="BR19" s="114">
        <f t="shared" si="15"/>
        <v>909984.09884747851</v>
      </c>
      <c r="BS19" s="98"/>
      <c r="BT19" s="98"/>
      <c r="BU19" s="98"/>
      <c r="BV19" s="115">
        <f t="shared" si="16"/>
        <v>1061648.1153220583</v>
      </c>
      <c r="BW19" s="115"/>
      <c r="BX19" s="116">
        <f t="shared" si="17"/>
        <v>1645554.5787491903</v>
      </c>
      <c r="BY19" s="116">
        <v>1500000</v>
      </c>
      <c r="BZ19" s="116"/>
      <c r="CA19" s="116">
        <v>1500000</v>
      </c>
      <c r="CB19" s="116"/>
      <c r="CC19" s="116"/>
      <c r="CD19" s="116">
        <v>0</v>
      </c>
      <c r="CE19" s="116"/>
      <c r="CF19" s="116"/>
      <c r="CG19" s="116"/>
      <c r="CH19" s="116"/>
      <c r="CI19" s="116"/>
      <c r="CJ19" s="116"/>
      <c r="CK19" s="116">
        <v>0</v>
      </c>
      <c r="CL19" s="116">
        <v>1500000</v>
      </c>
      <c r="CM19" s="117"/>
      <c r="CN19" s="118" t="s">
        <v>95</v>
      </c>
    </row>
    <row r="20" spans="1:93" s="2" customFormat="1" ht="25.5" x14ac:dyDescent="0.2">
      <c r="A20" s="215">
        <f>A19+1</f>
        <v>8</v>
      </c>
      <c r="B20" s="145">
        <f t="shared" si="18"/>
        <v>13</v>
      </c>
      <c r="C20" s="148" t="s">
        <v>122</v>
      </c>
      <c r="D20" s="164" t="s">
        <v>123</v>
      </c>
      <c r="E20" s="148" t="s">
        <v>95</v>
      </c>
      <c r="F20" s="148" t="s">
        <v>96</v>
      </c>
      <c r="G20" s="149">
        <v>43556</v>
      </c>
      <c r="H20" s="149" t="s">
        <v>124</v>
      </c>
      <c r="I20" s="150">
        <v>10000000</v>
      </c>
      <c r="J20" s="151">
        <v>7.7499999999999999E-2</v>
      </c>
      <c r="K20" s="151">
        <v>7.2499999999999995E-2</v>
      </c>
      <c r="L20" s="152">
        <v>0.9</v>
      </c>
      <c r="M20" s="153">
        <v>8</v>
      </c>
      <c r="N20" s="153">
        <v>2</v>
      </c>
      <c r="O20" s="152">
        <v>12</v>
      </c>
      <c r="P20" s="153">
        <f t="shared" si="5"/>
        <v>465000</v>
      </c>
      <c r="Q20" s="153">
        <f t="shared" si="6"/>
        <v>6066560.6589831896</v>
      </c>
      <c r="R20" s="153">
        <f t="shared" si="7"/>
        <v>282095.07064271829</v>
      </c>
      <c r="S20" s="153">
        <f t="shared" si="8"/>
        <v>182904.92935728171</v>
      </c>
      <c r="T20" s="154">
        <v>0.606656065898319</v>
      </c>
      <c r="U20" s="153"/>
      <c r="V20" s="152"/>
      <c r="W20" s="153">
        <f t="shared" si="3"/>
        <v>6066560.6589831896</v>
      </c>
      <c r="X20" s="153">
        <f t="shared" si="3"/>
        <v>282095.07064271829</v>
      </c>
      <c r="Y20" s="155">
        <f t="shared" si="9"/>
        <v>6066560.6589831896</v>
      </c>
      <c r="Z20" s="155">
        <f t="shared" si="9"/>
        <v>282095.07064271829</v>
      </c>
      <c r="AA20" s="155"/>
      <c r="AB20" s="155"/>
      <c r="AC20" s="155">
        <f t="shared" si="21"/>
        <v>282095.07064271829</v>
      </c>
      <c r="AD20" s="156">
        <v>4853248.5271865511</v>
      </c>
      <c r="AE20" s="156">
        <f t="shared" si="19"/>
        <v>5392498.3635406131</v>
      </c>
      <c r="AF20" s="156"/>
      <c r="AG20" s="83"/>
      <c r="AH20" s="83"/>
      <c r="AI20" s="83"/>
      <c r="AJ20" s="83"/>
      <c r="AK20" s="83"/>
      <c r="AL20" s="83">
        <f t="shared" si="10"/>
        <v>282095.07064271829</v>
      </c>
      <c r="AM20" s="83"/>
      <c r="AN20" s="83"/>
      <c r="AO20" s="83"/>
      <c r="AP20" s="83">
        <f t="shared" si="11"/>
        <v>282095.07064271829</v>
      </c>
      <c r="AQ20" s="83"/>
      <c r="AR20" s="83">
        <f t="shared" si="12"/>
        <v>282095.07064271829</v>
      </c>
      <c r="AS20" s="83"/>
      <c r="AT20" s="83">
        <v>112500</v>
      </c>
      <c r="AU20" s="83">
        <f t="shared" si="22"/>
        <v>169595.07064271829</v>
      </c>
      <c r="AV20" s="83"/>
      <c r="AW20" s="83"/>
      <c r="AX20" s="83"/>
      <c r="AY20" s="83">
        <v>112500</v>
      </c>
      <c r="AZ20" s="83"/>
      <c r="BA20" s="83">
        <f t="shared" si="13"/>
        <v>112500</v>
      </c>
      <c r="BB20" s="83"/>
      <c r="BC20" s="83"/>
      <c r="BD20" s="83"/>
      <c r="BE20" s="83"/>
      <c r="BF20" s="83"/>
      <c r="BG20" s="83"/>
      <c r="BH20" s="83">
        <f t="shared" si="20"/>
        <v>112500</v>
      </c>
      <c r="BI20" s="83">
        <f>CK20*K20*L20*N20/O20</f>
        <v>108750</v>
      </c>
      <c r="BJ20" s="159">
        <f t="shared" si="4"/>
        <v>6066560.6589831896</v>
      </c>
      <c r="BK20" s="159"/>
      <c r="BL20" s="159"/>
      <c r="BM20" s="89"/>
      <c r="BN20" s="89"/>
      <c r="BO20" s="89"/>
      <c r="BP20" s="89"/>
      <c r="BQ20" s="160">
        <f t="shared" si="14"/>
        <v>6066560.6589831896</v>
      </c>
      <c r="BR20" s="160">
        <f t="shared" si="15"/>
        <v>6933212.1816950738</v>
      </c>
      <c r="BS20" s="161"/>
      <c r="BT20" s="161"/>
      <c r="BU20" s="161"/>
      <c r="BV20" s="162">
        <f t="shared" si="16"/>
        <v>8088747.5453109201</v>
      </c>
      <c r="BW20" s="162"/>
      <c r="BX20" s="95">
        <f t="shared" si="17"/>
        <v>12969888.305412337</v>
      </c>
      <c r="BY20" s="95">
        <v>10000000</v>
      </c>
      <c r="BZ20" s="95"/>
      <c r="CA20" s="95"/>
      <c r="CB20" s="95"/>
      <c r="CC20" s="95"/>
      <c r="CD20" s="95">
        <v>10000000</v>
      </c>
      <c r="CE20" s="95"/>
      <c r="CF20" s="95"/>
      <c r="CG20" s="95"/>
      <c r="CH20" s="95"/>
      <c r="CI20" s="95"/>
      <c r="CJ20" s="95"/>
      <c r="CK20" s="95">
        <v>10000000</v>
      </c>
      <c r="CL20" s="95">
        <v>10000000</v>
      </c>
      <c r="CM20" s="163"/>
      <c r="CN20" s="2" t="s">
        <v>95</v>
      </c>
      <c r="CO20" s="171" t="s">
        <v>125</v>
      </c>
    </row>
    <row r="21" spans="1:93" s="118" customFormat="1" ht="25.5" x14ac:dyDescent="0.2">
      <c r="A21" s="136">
        <f>A20+1</f>
        <v>9</v>
      </c>
      <c r="B21" s="99">
        <f t="shared" si="18"/>
        <v>14</v>
      </c>
      <c r="C21" s="100" t="s">
        <v>126</v>
      </c>
      <c r="D21" s="101" t="s">
        <v>127</v>
      </c>
      <c r="E21" s="100" t="s">
        <v>95</v>
      </c>
      <c r="F21" s="100" t="s">
        <v>96</v>
      </c>
      <c r="G21" s="103">
        <v>43678</v>
      </c>
      <c r="H21" s="103">
        <v>43678</v>
      </c>
      <c r="I21" s="104">
        <v>2000000</v>
      </c>
      <c r="J21" s="105">
        <v>7.7499999999999999E-2</v>
      </c>
      <c r="K21" s="105">
        <v>7.4999999999999997E-2</v>
      </c>
      <c r="L21" s="106">
        <v>0.9</v>
      </c>
      <c r="M21" s="107">
        <v>4</v>
      </c>
      <c r="N21" s="107">
        <v>3</v>
      </c>
      <c r="O21" s="106">
        <v>12</v>
      </c>
      <c r="P21" s="107">
        <f t="shared" si="5"/>
        <v>46500</v>
      </c>
      <c r="Q21" s="107">
        <f t="shared" si="6"/>
        <v>1213312.131796638</v>
      </c>
      <c r="R21" s="107">
        <f t="shared" si="7"/>
        <v>28209.507064271835</v>
      </c>
      <c r="S21" s="107">
        <f t="shared" si="8"/>
        <v>18290.492935728165</v>
      </c>
      <c r="T21" s="108">
        <v>0.606656065898319</v>
      </c>
      <c r="U21" s="107"/>
      <c r="V21" s="106"/>
      <c r="W21" s="107">
        <f t="shared" si="3"/>
        <v>1213312.131796638</v>
      </c>
      <c r="X21" s="107">
        <f t="shared" si="3"/>
        <v>28209.507064271835</v>
      </c>
      <c r="Y21" s="109">
        <f t="shared" si="9"/>
        <v>1213312.131796638</v>
      </c>
      <c r="Z21" s="109">
        <f t="shared" si="9"/>
        <v>28209.507064271835</v>
      </c>
      <c r="AA21" s="109"/>
      <c r="AB21" s="109"/>
      <c r="AC21" s="109">
        <f t="shared" si="21"/>
        <v>28209.507064271835</v>
      </c>
      <c r="AD21" s="110">
        <v>485324.85271865525</v>
      </c>
      <c r="AE21" s="110">
        <f t="shared" si="19"/>
        <v>539249.83635406138</v>
      </c>
      <c r="AF21" s="110"/>
      <c r="AG21" s="111"/>
      <c r="AH21" s="111"/>
      <c r="AI21" s="111"/>
      <c r="AJ21" s="111"/>
      <c r="AK21" s="111"/>
      <c r="AL21" s="111">
        <f t="shared" si="10"/>
        <v>28209.507064271835</v>
      </c>
      <c r="AM21" s="111"/>
      <c r="AN21" s="111"/>
      <c r="AO21" s="111"/>
      <c r="AP21" s="111">
        <f t="shared" si="11"/>
        <v>28209.507064271835</v>
      </c>
      <c r="AQ21" s="111"/>
      <c r="AR21" s="111">
        <f t="shared" si="12"/>
        <v>28209.507064271835</v>
      </c>
      <c r="AS21" s="111"/>
      <c r="AT21" s="111">
        <v>33750</v>
      </c>
      <c r="AU21" s="111">
        <f t="shared" si="22"/>
        <v>-5540.4929357281653</v>
      </c>
      <c r="AV21" s="111">
        <v>33750</v>
      </c>
      <c r="AW21" s="111"/>
      <c r="AX21" s="111"/>
      <c r="AY21" s="111">
        <v>0</v>
      </c>
      <c r="AZ21" s="111"/>
      <c r="BA21" s="85">
        <f t="shared" si="13"/>
        <v>0</v>
      </c>
      <c r="BB21" s="85"/>
      <c r="BC21" s="85"/>
      <c r="BD21" s="85"/>
      <c r="BE21" s="85"/>
      <c r="BF21" s="85"/>
      <c r="BG21" s="85"/>
      <c r="BH21" s="111">
        <f t="shared" si="20"/>
        <v>0</v>
      </c>
      <c r="BI21" s="111"/>
      <c r="BJ21" s="112">
        <f t="shared" si="4"/>
        <v>606656.06589831901</v>
      </c>
      <c r="BK21" s="112"/>
      <c r="BL21" s="112"/>
      <c r="BM21" s="113"/>
      <c r="BN21" s="113"/>
      <c r="BO21" s="113"/>
      <c r="BP21" s="113"/>
      <c r="BQ21" s="114">
        <f t="shared" si="14"/>
        <v>606656.06589831901</v>
      </c>
      <c r="BR21" s="114">
        <f t="shared" si="15"/>
        <v>693321.21816950745</v>
      </c>
      <c r="BS21" s="98"/>
      <c r="BT21" s="98"/>
      <c r="BU21" s="98"/>
      <c r="BV21" s="115">
        <f t="shared" si="16"/>
        <v>808874.75453109201</v>
      </c>
      <c r="BW21" s="115"/>
      <c r="BX21" s="116">
        <f t="shared" si="17"/>
        <v>1253755.8695231928</v>
      </c>
      <c r="BY21" s="116">
        <v>1253755.8700000001</v>
      </c>
      <c r="BZ21" s="116">
        <v>1500000</v>
      </c>
      <c r="CA21" s="116"/>
      <c r="CB21" s="116"/>
      <c r="CC21" s="116"/>
      <c r="CD21" s="116">
        <v>0</v>
      </c>
      <c r="CE21" s="116"/>
      <c r="CF21" s="116"/>
      <c r="CG21" s="116"/>
      <c r="CH21" s="116"/>
      <c r="CI21" s="116"/>
      <c r="CJ21" s="116"/>
      <c r="CL21" s="116">
        <v>1500000</v>
      </c>
      <c r="CM21" s="117"/>
      <c r="CN21" s="118" t="s">
        <v>95</v>
      </c>
    </row>
    <row r="22" spans="1:93" s="2" customFormat="1" ht="76.5" x14ac:dyDescent="0.2">
      <c r="B22" s="145">
        <f t="shared" si="18"/>
        <v>15</v>
      </c>
      <c r="C22" s="146" t="s">
        <v>128</v>
      </c>
      <c r="D22" s="147" t="s">
        <v>129</v>
      </c>
      <c r="E22" s="148" t="s">
        <v>95</v>
      </c>
      <c r="F22" s="148" t="s">
        <v>96</v>
      </c>
      <c r="G22" s="149"/>
      <c r="H22" s="149" t="s">
        <v>130</v>
      </c>
      <c r="I22" s="150">
        <v>0</v>
      </c>
      <c r="J22" s="151">
        <v>7.7499999999999999E-2</v>
      </c>
      <c r="K22" s="76">
        <v>7.2499999999999995E-2</v>
      </c>
      <c r="L22" s="152">
        <v>0.9</v>
      </c>
      <c r="M22" s="153">
        <v>7</v>
      </c>
      <c r="N22" s="153"/>
      <c r="O22" s="152">
        <v>12</v>
      </c>
      <c r="P22" s="153"/>
      <c r="Q22" s="153"/>
      <c r="R22" s="153"/>
      <c r="S22" s="153"/>
      <c r="T22" s="154"/>
      <c r="U22" s="153"/>
      <c r="V22" s="152"/>
      <c r="W22" s="153"/>
      <c r="X22" s="153"/>
      <c r="Y22" s="155"/>
      <c r="Z22" s="155"/>
      <c r="AA22" s="155"/>
      <c r="AB22" s="155"/>
      <c r="AC22" s="155"/>
      <c r="AD22" s="156"/>
      <c r="AE22" s="156"/>
      <c r="AF22" s="156"/>
      <c r="AG22" s="83"/>
      <c r="AH22" s="83"/>
      <c r="AI22" s="83"/>
      <c r="AJ22" s="83"/>
      <c r="AK22" s="83"/>
      <c r="AL22" s="83"/>
      <c r="AM22" s="157">
        <v>0</v>
      </c>
      <c r="AN22" s="158"/>
      <c r="AO22" s="158"/>
      <c r="AP22" s="83">
        <f t="shared" si="11"/>
        <v>0</v>
      </c>
      <c r="AQ22" s="83"/>
      <c r="AR22" s="83">
        <f t="shared" si="12"/>
        <v>0</v>
      </c>
      <c r="AS22" s="83"/>
      <c r="AT22" s="83">
        <v>0</v>
      </c>
      <c r="AU22" s="83">
        <f t="shared" si="22"/>
        <v>0</v>
      </c>
      <c r="AV22" s="83"/>
      <c r="AW22" s="83"/>
      <c r="AX22" s="83"/>
      <c r="AY22" s="83"/>
      <c r="AZ22" s="83"/>
      <c r="BA22" s="83">
        <f t="shared" si="13"/>
        <v>0</v>
      </c>
      <c r="BB22" s="83"/>
      <c r="BC22" s="83">
        <v>4183.1499999999996</v>
      </c>
      <c r="BD22" s="83"/>
      <c r="BE22" s="83"/>
      <c r="BF22" s="83"/>
      <c r="BG22" s="83"/>
      <c r="BH22" s="85">
        <v>0</v>
      </c>
      <c r="BI22" s="85">
        <v>0</v>
      </c>
      <c r="BJ22" s="159"/>
      <c r="BK22" s="159"/>
      <c r="BL22" s="159"/>
      <c r="BM22" s="89"/>
      <c r="BN22" s="89"/>
      <c r="BO22" s="89"/>
      <c r="BP22" s="89"/>
      <c r="BQ22" s="160"/>
      <c r="BR22" s="160">
        <f t="shared" si="15"/>
        <v>0</v>
      </c>
      <c r="BS22" s="160">
        <v>350000</v>
      </c>
      <c r="BT22" s="161"/>
      <c r="BU22" s="161"/>
      <c r="BV22" s="162">
        <f t="shared" si="16"/>
        <v>0</v>
      </c>
      <c r="BW22" s="162"/>
      <c r="BX22" s="95">
        <f t="shared" si="17"/>
        <v>0</v>
      </c>
      <c r="BY22" s="95"/>
      <c r="BZ22" s="95"/>
      <c r="CA22" s="95"/>
      <c r="CB22" s="95"/>
      <c r="CC22" s="95"/>
      <c r="CD22" s="95"/>
      <c r="CE22" s="95"/>
      <c r="CF22" s="95">
        <v>200000</v>
      </c>
      <c r="CG22" s="95"/>
      <c r="CH22" s="95"/>
      <c r="CI22" s="95"/>
      <c r="CJ22" s="95"/>
      <c r="CK22" s="95">
        <v>0</v>
      </c>
      <c r="CL22" s="95"/>
      <c r="CM22" s="163"/>
      <c r="CN22" s="2" t="s">
        <v>95</v>
      </c>
    </row>
    <row r="23" spans="1:93" s="118" customFormat="1" ht="25.5" x14ac:dyDescent="0.2">
      <c r="A23" s="98">
        <f>A21+1</f>
        <v>10</v>
      </c>
      <c r="B23" s="99">
        <f t="shared" si="18"/>
        <v>16</v>
      </c>
      <c r="C23" s="100" t="s">
        <v>131</v>
      </c>
      <c r="D23" s="101" t="s">
        <v>132</v>
      </c>
      <c r="E23" s="100" t="s">
        <v>133</v>
      </c>
      <c r="F23" s="100" t="s">
        <v>134</v>
      </c>
      <c r="G23" s="103">
        <v>43647</v>
      </c>
      <c r="H23" s="103" t="s">
        <v>97</v>
      </c>
      <c r="I23" s="104">
        <v>20000000</v>
      </c>
      <c r="J23" s="105">
        <v>7.7499999999999999E-2</v>
      </c>
      <c r="K23" s="105">
        <v>7.4999999999999997E-2</v>
      </c>
      <c r="L23" s="106">
        <v>0.9</v>
      </c>
      <c r="M23" s="107">
        <v>5</v>
      </c>
      <c r="N23" s="107">
        <v>4</v>
      </c>
      <c r="O23" s="106">
        <v>12</v>
      </c>
      <c r="P23" s="107">
        <f t="shared" si="5"/>
        <v>581250</v>
      </c>
      <c r="Q23" s="107">
        <f t="shared" si="6"/>
        <v>12133121.317966379</v>
      </c>
      <c r="R23" s="107">
        <f t="shared" si="7"/>
        <v>352618.83830339788</v>
      </c>
      <c r="S23" s="107">
        <f t="shared" si="8"/>
        <v>228631.16169660212</v>
      </c>
      <c r="T23" s="108">
        <v>0.606656065898319</v>
      </c>
      <c r="U23" s="107"/>
      <c r="V23" s="106"/>
      <c r="W23" s="107">
        <f t="shared" si="3"/>
        <v>12133121.317966379</v>
      </c>
      <c r="X23" s="107">
        <f t="shared" si="3"/>
        <v>352618.83830339788</v>
      </c>
      <c r="Y23" s="109">
        <f t="shared" si="9"/>
        <v>12133121.317966379</v>
      </c>
      <c r="Z23" s="109">
        <f t="shared" si="9"/>
        <v>352618.83830339788</v>
      </c>
      <c r="AA23" s="109"/>
      <c r="AB23" s="109"/>
      <c r="AC23" s="109">
        <f t="shared" si="21"/>
        <v>352618.83830339788</v>
      </c>
      <c r="AD23" s="110">
        <v>7886528.856678145</v>
      </c>
      <c r="AE23" s="110">
        <f t="shared" si="19"/>
        <v>6740622.9544257652</v>
      </c>
      <c r="AF23" s="110"/>
      <c r="AG23" s="111"/>
      <c r="AH23" s="111"/>
      <c r="AI23" s="111"/>
      <c r="AJ23" s="111"/>
      <c r="AK23" s="111"/>
      <c r="AL23" s="111">
        <f t="shared" si="10"/>
        <v>352618.83830339788</v>
      </c>
      <c r="AM23" s="111"/>
      <c r="AN23" s="111"/>
      <c r="AO23" s="111"/>
      <c r="AP23" s="111">
        <f t="shared" si="11"/>
        <v>352618.83830339788</v>
      </c>
      <c r="AQ23" s="111"/>
      <c r="AR23" s="111">
        <f t="shared" si="12"/>
        <v>352618.83830339788</v>
      </c>
      <c r="AS23" s="111"/>
      <c r="AT23" s="111">
        <f>BY23*K23*L23*N23/O23</f>
        <v>225000</v>
      </c>
      <c r="AU23" s="111">
        <f t="shared" si="22"/>
        <v>127618.83830339788</v>
      </c>
      <c r="AV23" s="111"/>
      <c r="AW23" s="111"/>
      <c r="AX23" s="111"/>
      <c r="AY23" s="111">
        <v>225000</v>
      </c>
      <c r="AZ23" s="111"/>
      <c r="BA23" s="111">
        <f t="shared" si="13"/>
        <v>225000</v>
      </c>
      <c r="BB23" s="111"/>
      <c r="BC23" s="111">
        <v>217500</v>
      </c>
      <c r="BD23" s="111"/>
      <c r="BE23" s="111"/>
      <c r="BF23" s="111"/>
      <c r="BG23" s="111"/>
      <c r="BH23" s="111">
        <f t="shared" si="20"/>
        <v>7500</v>
      </c>
      <c r="BI23" s="111">
        <v>0</v>
      </c>
      <c r="BJ23" s="112">
        <f t="shared" si="4"/>
        <v>7583200.8237289861</v>
      </c>
      <c r="BK23" s="112"/>
      <c r="BL23" s="112"/>
      <c r="BM23" s="113"/>
      <c r="BN23" s="113"/>
      <c r="BO23" s="113"/>
      <c r="BP23" s="113"/>
      <c r="BQ23" s="114">
        <f t="shared" si="14"/>
        <v>7583200.8237289861</v>
      </c>
      <c r="BR23" s="114">
        <f t="shared" si="15"/>
        <v>8666515.2271188423</v>
      </c>
      <c r="BS23" s="98"/>
      <c r="BT23" s="98"/>
      <c r="BU23" s="98"/>
      <c r="BV23" s="115">
        <f t="shared" si="16"/>
        <v>10110934.431638649</v>
      </c>
      <c r="BW23" s="115"/>
      <c r="BX23" s="116">
        <f t="shared" si="17"/>
        <v>15671948.369039906</v>
      </c>
      <c r="BY23" s="116">
        <v>10000000</v>
      </c>
      <c r="BZ23" s="116"/>
      <c r="CA23" s="116"/>
      <c r="CB23" s="116"/>
      <c r="CC23" s="116"/>
      <c r="CD23" s="116">
        <v>10000000</v>
      </c>
      <c r="CE23" s="116"/>
      <c r="CF23" s="116">
        <v>10000000</v>
      </c>
      <c r="CG23" s="116"/>
      <c r="CH23" s="116"/>
      <c r="CI23" s="116"/>
      <c r="CJ23" s="116"/>
      <c r="CK23" s="116">
        <v>0</v>
      </c>
      <c r="CL23" s="116">
        <v>50000000</v>
      </c>
      <c r="CM23" s="217" t="s">
        <v>135</v>
      </c>
      <c r="CN23" s="201" t="s">
        <v>95</v>
      </c>
    </row>
    <row r="24" spans="1:93" s="2" customFormat="1" ht="25.5" x14ac:dyDescent="0.2">
      <c r="A24" s="161"/>
      <c r="B24" s="145">
        <f t="shared" si="18"/>
        <v>17</v>
      </c>
      <c r="C24" s="148" t="s">
        <v>131</v>
      </c>
      <c r="D24" s="164" t="s">
        <v>132</v>
      </c>
      <c r="E24" s="148" t="s">
        <v>133</v>
      </c>
      <c r="F24" s="165" t="s">
        <v>134</v>
      </c>
      <c r="G24" s="149">
        <v>43770</v>
      </c>
      <c r="H24" s="149">
        <v>43770</v>
      </c>
      <c r="I24" s="150">
        <v>30000000</v>
      </c>
      <c r="J24" s="151">
        <v>7.7499999999999999E-2</v>
      </c>
      <c r="K24" s="76">
        <v>7.2499999999999995E-2</v>
      </c>
      <c r="L24" s="152">
        <v>0.9</v>
      </c>
      <c r="M24" s="153">
        <v>1</v>
      </c>
      <c r="N24" s="153">
        <v>1</v>
      </c>
      <c r="O24" s="152">
        <v>12</v>
      </c>
      <c r="P24" s="153">
        <f t="shared" si="5"/>
        <v>174375</v>
      </c>
      <c r="Q24" s="153">
        <f t="shared" si="6"/>
        <v>18199681.976949569</v>
      </c>
      <c r="R24" s="153">
        <f t="shared" si="7"/>
        <v>105785.65149101937</v>
      </c>
      <c r="S24" s="153">
        <f t="shared" si="8"/>
        <v>68589.348508980635</v>
      </c>
      <c r="T24" s="154">
        <v>0.606656065898319</v>
      </c>
      <c r="U24" s="153"/>
      <c r="V24" s="152"/>
      <c r="W24" s="153">
        <f t="shared" si="3"/>
        <v>18199681.976949569</v>
      </c>
      <c r="X24" s="153">
        <f t="shared" si="3"/>
        <v>105785.65149101937</v>
      </c>
      <c r="Y24" s="155">
        <f t="shared" si="9"/>
        <v>18199681.976949569</v>
      </c>
      <c r="Z24" s="155">
        <f t="shared" si="9"/>
        <v>105785.65149101937</v>
      </c>
      <c r="AA24" s="169"/>
      <c r="AB24" s="169"/>
      <c r="AC24" s="155">
        <f t="shared" si="21"/>
        <v>105785.65149101937</v>
      </c>
      <c r="AD24" s="156">
        <v>0</v>
      </c>
      <c r="AE24" s="156">
        <f t="shared" si="19"/>
        <v>2022186.88632773</v>
      </c>
      <c r="AF24" s="156"/>
      <c r="AG24" s="83"/>
      <c r="AH24" s="83"/>
      <c r="AI24" s="83"/>
      <c r="AJ24" s="83"/>
      <c r="AK24" s="84"/>
      <c r="AL24" s="82">
        <f t="shared" si="10"/>
        <v>105785.65149101937</v>
      </c>
      <c r="AM24" s="82"/>
      <c r="AN24" s="82"/>
      <c r="AO24" s="82"/>
      <c r="AP24" s="82">
        <f t="shared" si="11"/>
        <v>105785.65149101937</v>
      </c>
      <c r="AQ24" s="82"/>
      <c r="AR24" s="82">
        <f t="shared" si="12"/>
        <v>105785.65149101937</v>
      </c>
      <c r="AS24" s="82"/>
      <c r="AT24" s="82">
        <f>BY24*K24*L24*N24/O24</f>
        <v>163125</v>
      </c>
      <c r="AU24" s="85">
        <f t="shared" si="22"/>
        <v>-57339.348508980635</v>
      </c>
      <c r="AV24" s="85"/>
      <c r="AW24" s="86"/>
      <c r="AX24" s="86"/>
      <c r="AY24" s="85">
        <v>168750</v>
      </c>
      <c r="AZ24" s="85"/>
      <c r="BA24" s="85">
        <f t="shared" si="13"/>
        <v>168750</v>
      </c>
      <c r="BB24" s="85"/>
      <c r="BC24" s="85"/>
      <c r="BD24" s="85"/>
      <c r="BE24" s="85"/>
      <c r="BF24" s="85"/>
      <c r="BG24" s="85"/>
      <c r="BH24" s="85">
        <f t="shared" si="20"/>
        <v>168750</v>
      </c>
      <c r="BI24" s="85">
        <f>CK24*K24*L24*N24/O24</f>
        <v>163125</v>
      </c>
      <c r="BJ24" s="159">
        <f t="shared" si="4"/>
        <v>2274960.2471186961</v>
      </c>
      <c r="BK24" s="159"/>
      <c r="BL24" s="159"/>
      <c r="BM24" s="89"/>
      <c r="BN24" s="89"/>
      <c r="BO24" s="89"/>
      <c r="BP24" s="90"/>
      <c r="BQ24" s="91">
        <f t="shared" si="14"/>
        <v>2274960.2471186961</v>
      </c>
      <c r="BR24" s="91">
        <f t="shared" si="15"/>
        <v>2599954.5681356527</v>
      </c>
      <c r="BS24" s="161"/>
      <c r="BT24" s="161"/>
      <c r="BU24" s="161"/>
      <c r="BV24" s="92">
        <f t="shared" si="16"/>
        <v>3033280.3294915948</v>
      </c>
      <c r="BW24" s="92"/>
      <c r="BX24" s="93">
        <f t="shared" si="17"/>
        <v>4863708.1145296255</v>
      </c>
      <c r="BY24" s="166">
        <v>30000000</v>
      </c>
      <c r="BZ24" s="93"/>
      <c r="CA24" s="94"/>
      <c r="CB24" s="94"/>
      <c r="CC24" s="94"/>
      <c r="CD24" s="94">
        <v>30000000</v>
      </c>
      <c r="CE24" s="94"/>
      <c r="CF24" s="94"/>
      <c r="CG24" s="94"/>
      <c r="CH24" s="94"/>
      <c r="CI24" s="94"/>
      <c r="CJ24" s="94"/>
      <c r="CK24" s="95">
        <v>30000000</v>
      </c>
      <c r="CL24" s="93"/>
      <c r="CM24" s="170"/>
      <c r="CN24" s="171"/>
    </row>
    <row r="25" spans="1:93" s="2" customFormat="1" ht="25.5" x14ac:dyDescent="0.2">
      <c r="A25" s="161">
        <f>A23+1</f>
        <v>11</v>
      </c>
      <c r="B25" s="145">
        <f t="shared" si="18"/>
        <v>18</v>
      </c>
      <c r="C25" s="148" t="s">
        <v>136</v>
      </c>
      <c r="D25" s="164" t="s">
        <v>137</v>
      </c>
      <c r="E25" s="148" t="s">
        <v>133</v>
      </c>
      <c r="F25" s="148" t="s">
        <v>96</v>
      </c>
      <c r="G25" s="149">
        <v>43497</v>
      </c>
      <c r="H25" s="149" t="s">
        <v>138</v>
      </c>
      <c r="I25" s="150">
        <v>3000000</v>
      </c>
      <c r="J25" s="151">
        <v>7.7499999999999999E-2</v>
      </c>
      <c r="K25" s="151">
        <v>7.2499999999999995E-2</v>
      </c>
      <c r="L25" s="152">
        <v>0.9</v>
      </c>
      <c r="M25" s="153">
        <v>10</v>
      </c>
      <c r="N25" s="153">
        <v>2.5</v>
      </c>
      <c r="O25" s="152">
        <v>12</v>
      </c>
      <c r="P25" s="153">
        <f t="shared" si="5"/>
        <v>174375</v>
      </c>
      <c r="Q25" s="153">
        <f t="shared" si="6"/>
        <v>1819968.197694957</v>
      </c>
      <c r="R25" s="153">
        <f t="shared" si="7"/>
        <v>105785.65149101937</v>
      </c>
      <c r="S25" s="153">
        <f t="shared" si="8"/>
        <v>68589.348508980635</v>
      </c>
      <c r="T25" s="154">
        <v>0.606656065898319</v>
      </c>
      <c r="U25" s="153"/>
      <c r="V25" s="152"/>
      <c r="W25" s="153">
        <f t="shared" si="3"/>
        <v>1819968.197694957</v>
      </c>
      <c r="X25" s="153">
        <f t="shared" si="3"/>
        <v>105785.65149101937</v>
      </c>
      <c r="Y25" s="155">
        <f t="shared" si="9"/>
        <v>1819968.197694957</v>
      </c>
      <c r="Z25" s="155">
        <f t="shared" si="9"/>
        <v>105785.65149101937</v>
      </c>
      <c r="AA25" s="155"/>
      <c r="AB25" s="155"/>
      <c r="AC25" s="155">
        <f t="shared" si="21"/>
        <v>105785.65149101937</v>
      </c>
      <c r="AD25" s="156">
        <v>2365958.6570034437</v>
      </c>
      <c r="AE25" s="156">
        <f t="shared" si="19"/>
        <v>2022186.88632773</v>
      </c>
      <c r="AF25" s="156"/>
      <c r="AG25" s="83"/>
      <c r="AH25" s="83"/>
      <c r="AI25" s="83"/>
      <c r="AJ25" s="83"/>
      <c r="AK25" s="83"/>
      <c r="AL25" s="83">
        <f t="shared" si="10"/>
        <v>105785.65149101937</v>
      </c>
      <c r="AM25" s="83"/>
      <c r="AN25" s="83"/>
      <c r="AO25" s="83"/>
      <c r="AP25" s="83">
        <f t="shared" si="11"/>
        <v>105785.65149101937</v>
      </c>
      <c r="AQ25" s="83"/>
      <c r="AR25" s="83">
        <f t="shared" si="12"/>
        <v>105785.65149101937</v>
      </c>
      <c r="AS25" s="83"/>
      <c r="AT25" s="83">
        <f>BY25*K25*L25*N25/O25</f>
        <v>40781.249999999993</v>
      </c>
      <c r="AU25" s="83">
        <f t="shared" si="22"/>
        <v>65004.401491019373</v>
      </c>
      <c r="AV25" s="83"/>
      <c r="AW25" s="83"/>
      <c r="AX25" s="83"/>
      <c r="AY25" s="83">
        <v>67500</v>
      </c>
      <c r="AZ25" s="83"/>
      <c r="BA25" s="83">
        <f t="shared" si="13"/>
        <v>67500</v>
      </c>
      <c r="BB25" s="83"/>
      <c r="BC25" s="83"/>
      <c r="BD25" s="83"/>
      <c r="BE25" s="83"/>
      <c r="BF25" s="83"/>
      <c r="BG25" s="83"/>
      <c r="BH25" s="83">
        <f t="shared" si="20"/>
        <v>67500</v>
      </c>
      <c r="BI25" s="83">
        <f>CK25*K25*L25*N25/O25</f>
        <v>27187.5</v>
      </c>
      <c r="BJ25" s="159">
        <f t="shared" si="4"/>
        <v>2274960.2471186961</v>
      </c>
      <c r="BK25" s="159"/>
      <c r="BL25" s="159"/>
      <c r="BM25" s="89"/>
      <c r="BN25" s="89"/>
      <c r="BO25" s="89"/>
      <c r="BP25" s="89"/>
      <c r="BQ25" s="160">
        <f t="shared" si="14"/>
        <v>2274960.2471186961</v>
      </c>
      <c r="BR25" s="160">
        <f t="shared" si="15"/>
        <v>2599954.5681356527</v>
      </c>
      <c r="BS25" s="161"/>
      <c r="BT25" s="161"/>
      <c r="BU25" s="161"/>
      <c r="BV25" s="162">
        <f t="shared" si="16"/>
        <v>3033280.3294915948</v>
      </c>
      <c r="BW25" s="162"/>
      <c r="BX25" s="95">
        <f t="shared" si="17"/>
        <v>4863708.1145296255</v>
      </c>
      <c r="BY25" s="95">
        <v>3000000</v>
      </c>
      <c r="BZ25" s="95"/>
      <c r="CA25" s="95"/>
      <c r="CB25" s="95"/>
      <c r="CC25" s="95"/>
      <c r="CD25" s="95">
        <v>3000000</v>
      </c>
      <c r="CE25" s="95"/>
      <c r="CF25" s="95"/>
      <c r="CG25" s="95"/>
      <c r="CH25" s="95"/>
      <c r="CI25" s="95"/>
      <c r="CJ25" s="95"/>
      <c r="CK25" s="95">
        <v>2000000</v>
      </c>
      <c r="CL25" s="95">
        <v>2500000</v>
      </c>
      <c r="CM25" s="170" t="s">
        <v>135</v>
      </c>
      <c r="CN25" s="171" t="s">
        <v>106</v>
      </c>
    </row>
    <row r="26" spans="1:93" s="97" customFormat="1" ht="25.5" hidden="1" x14ac:dyDescent="0.2">
      <c r="B26" s="145">
        <f t="shared" si="18"/>
        <v>19</v>
      </c>
      <c r="C26" s="72" t="s">
        <v>136</v>
      </c>
      <c r="D26" s="73" t="s">
        <v>137</v>
      </c>
      <c r="E26" s="72" t="s">
        <v>133</v>
      </c>
      <c r="F26" s="72" t="s">
        <v>96</v>
      </c>
      <c r="G26" s="74">
        <v>43709</v>
      </c>
      <c r="H26" s="143" t="s">
        <v>139</v>
      </c>
      <c r="I26" s="75">
        <v>3000000</v>
      </c>
      <c r="J26" s="76">
        <v>7.7499999999999999E-2</v>
      </c>
      <c r="K26" s="76">
        <v>7.2499999999999995E-2</v>
      </c>
      <c r="L26" s="77">
        <v>0.9</v>
      </c>
      <c r="M26" s="78">
        <v>3</v>
      </c>
      <c r="N26" s="78"/>
      <c r="O26" s="77">
        <v>12</v>
      </c>
      <c r="P26" s="78">
        <f t="shared" si="5"/>
        <v>52312.5</v>
      </c>
      <c r="Q26" s="78">
        <f t="shared" si="6"/>
        <v>1819968.197694957</v>
      </c>
      <c r="R26" s="78">
        <f t="shared" si="7"/>
        <v>31735.695447305814</v>
      </c>
      <c r="S26" s="78">
        <f t="shared" si="8"/>
        <v>20576.804552694186</v>
      </c>
      <c r="T26" s="79">
        <v>0.606656065898319</v>
      </c>
      <c r="U26" s="78"/>
      <c r="V26" s="77"/>
      <c r="W26" s="78">
        <f t="shared" si="3"/>
        <v>1819968.197694957</v>
      </c>
      <c r="X26" s="78">
        <f t="shared" si="3"/>
        <v>31735.695447305814</v>
      </c>
      <c r="Y26" s="80">
        <f t="shared" si="9"/>
        <v>1819968.197694957</v>
      </c>
      <c r="Z26" s="80">
        <f t="shared" si="9"/>
        <v>31735.695447305814</v>
      </c>
      <c r="AA26" s="140"/>
      <c r="AB26" s="140"/>
      <c r="AC26" s="80">
        <f t="shared" si="21"/>
        <v>31735.695447305814</v>
      </c>
      <c r="AD26" s="81">
        <v>0</v>
      </c>
      <c r="AE26" s="81">
        <f t="shared" si="19"/>
        <v>606656.06589831901</v>
      </c>
      <c r="AF26" s="81"/>
      <c r="AG26" s="83"/>
      <c r="AH26" s="82"/>
      <c r="AI26" s="83"/>
      <c r="AJ26" s="83"/>
      <c r="AK26" s="84"/>
      <c r="AL26" s="82">
        <f t="shared" si="10"/>
        <v>31735.695447305814</v>
      </c>
      <c r="AM26" s="82"/>
      <c r="AN26" s="82"/>
      <c r="AO26" s="82"/>
      <c r="AP26" s="82">
        <f t="shared" si="11"/>
        <v>31735.695447305814</v>
      </c>
      <c r="AQ26" s="82"/>
      <c r="AR26" s="82">
        <f t="shared" si="12"/>
        <v>31735.695447305814</v>
      </c>
      <c r="AS26" s="82"/>
      <c r="AT26" s="82">
        <f>BY26*K26*L26*N26/O26</f>
        <v>0</v>
      </c>
      <c r="AU26" s="85">
        <f t="shared" si="22"/>
        <v>31735.695447305814</v>
      </c>
      <c r="AV26" s="85"/>
      <c r="AW26" s="86"/>
      <c r="AX26" s="86"/>
      <c r="AY26" s="85">
        <v>16875</v>
      </c>
      <c r="AZ26" s="85"/>
      <c r="BA26" s="85">
        <f t="shared" si="13"/>
        <v>16875</v>
      </c>
      <c r="BB26" s="85"/>
      <c r="BC26" s="85"/>
      <c r="BD26" s="85"/>
      <c r="BE26" s="85"/>
      <c r="BF26" s="85"/>
      <c r="BG26" s="85"/>
      <c r="BH26" s="85">
        <f t="shared" si="20"/>
        <v>16875</v>
      </c>
      <c r="BI26" s="85">
        <v>0</v>
      </c>
      <c r="BJ26" s="87">
        <f t="shared" si="4"/>
        <v>682488.07413560885</v>
      </c>
      <c r="BK26" s="87"/>
      <c r="BL26" s="87"/>
      <c r="BM26" s="88"/>
      <c r="BN26" s="89"/>
      <c r="BO26" s="89"/>
      <c r="BP26" s="90"/>
      <c r="BQ26" s="91">
        <f t="shared" si="14"/>
        <v>682488.07413560885</v>
      </c>
      <c r="BR26" s="91">
        <f t="shared" si="15"/>
        <v>779986.3704406959</v>
      </c>
      <c r="BS26" s="71"/>
      <c r="BT26" s="71"/>
      <c r="BU26" s="71"/>
      <c r="BV26" s="92">
        <f t="shared" si="16"/>
        <v>909984.09884747851</v>
      </c>
      <c r="BW26" s="92"/>
      <c r="BX26" s="93">
        <f t="shared" si="17"/>
        <v>1459112.4343588881</v>
      </c>
      <c r="BY26" s="166">
        <v>3000000</v>
      </c>
      <c r="BZ26" s="93"/>
      <c r="CA26" s="94"/>
      <c r="CB26" s="94"/>
      <c r="CC26" s="94"/>
      <c r="CD26" s="94">
        <v>3000000</v>
      </c>
      <c r="CE26" s="94"/>
      <c r="CF26" s="94"/>
      <c r="CG26" s="94"/>
      <c r="CH26" s="94"/>
      <c r="CI26" s="94"/>
      <c r="CJ26" s="94"/>
      <c r="CK26" s="95">
        <v>0</v>
      </c>
      <c r="CL26" s="93"/>
      <c r="CM26" s="170"/>
      <c r="CN26" s="171"/>
    </row>
    <row r="27" spans="1:93" s="120" customFormat="1" ht="25.5" x14ac:dyDescent="0.2">
      <c r="A27" s="120">
        <f>A25+1</f>
        <v>12</v>
      </c>
      <c r="B27" s="99">
        <v>19</v>
      </c>
      <c r="C27" s="122" t="s">
        <v>140</v>
      </c>
      <c r="D27" s="123" t="s">
        <v>141</v>
      </c>
      <c r="E27" s="122" t="s">
        <v>133</v>
      </c>
      <c r="F27" s="100" t="s">
        <v>96</v>
      </c>
      <c r="G27" s="124">
        <v>43497</v>
      </c>
      <c r="H27" s="124">
        <v>43497</v>
      </c>
      <c r="I27" s="125">
        <v>4000000</v>
      </c>
      <c r="J27" s="126">
        <v>7.7499999999999999E-2</v>
      </c>
      <c r="K27" s="105">
        <v>7.4999999999999997E-2</v>
      </c>
      <c r="L27" s="127">
        <v>0.9</v>
      </c>
      <c r="M27" s="128">
        <v>10</v>
      </c>
      <c r="N27" s="128"/>
      <c r="O27" s="127">
        <v>12</v>
      </c>
      <c r="P27" s="128">
        <f t="shared" si="5"/>
        <v>232500</v>
      </c>
      <c r="Q27" s="128">
        <f t="shared" si="6"/>
        <v>2426624.263593276</v>
      </c>
      <c r="R27" s="128">
        <f t="shared" si="7"/>
        <v>141047.53532135917</v>
      </c>
      <c r="S27" s="128">
        <f t="shared" si="8"/>
        <v>91452.464678640827</v>
      </c>
      <c r="T27" s="129">
        <v>0.606656065898319</v>
      </c>
      <c r="U27" s="172">
        <v>7240000</v>
      </c>
      <c r="V27" s="141">
        <f>420825-V28</f>
        <v>350301.23</v>
      </c>
      <c r="W27" s="128">
        <f t="shared" si="3"/>
        <v>-4813375.736406724</v>
      </c>
      <c r="X27" s="128">
        <f t="shared" si="3"/>
        <v>-209253.69467864081</v>
      </c>
      <c r="Y27" s="130">
        <f t="shared" si="9"/>
        <v>-4813375.736406724</v>
      </c>
      <c r="Z27" s="130">
        <f t="shared" si="9"/>
        <v>-209253.69467864081</v>
      </c>
      <c r="AA27" s="130"/>
      <c r="AB27" s="130"/>
      <c r="AC27" s="130">
        <f t="shared" si="21"/>
        <v>-209253.69467864081</v>
      </c>
      <c r="AD27" s="131">
        <v>-3600063.6046100855</v>
      </c>
      <c r="AE27" s="131">
        <f t="shared" si="19"/>
        <v>-4000070.627070792</v>
      </c>
      <c r="AF27" s="131"/>
      <c r="AG27" s="132"/>
      <c r="AH27" s="132"/>
      <c r="AI27" s="132"/>
      <c r="AJ27" s="132"/>
      <c r="AK27" s="132"/>
      <c r="AL27" s="111">
        <f t="shared" si="10"/>
        <v>-209253.69467864081</v>
      </c>
      <c r="AM27" s="111"/>
      <c r="AN27" s="111"/>
      <c r="AO27" s="111"/>
      <c r="AP27" s="111">
        <f t="shared" si="11"/>
        <v>-209253.69467864081</v>
      </c>
      <c r="AQ27" s="111"/>
      <c r="AR27" s="111">
        <f t="shared" si="12"/>
        <v>-209253.69467864081</v>
      </c>
      <c r="AS27" s="111"/>
      <c r="AT27" s="111">
        <v>0</v>
      </c>
      <c r="AU27" s="111"/>
      <c r="AV27" s="111"/>
      <c r="AW27" s="111"/>
      <c r="AX27" s="111"/>
      <c r="AY27" s="111"/>
      <c r="AZ27" s="111"/>
      <c r="BA27" s="85">
        <f t="shared" si="13"/>
        <v>0</v>
      </c>
      <c r="BB27" s="85"/>
      <c r="BC27" s="85"/>
      <c r="BD27" s="85"/>
      <c r="BE27" s="85"/>
      <c r="BF27" s="85"/>
      <c r="BG27" s="85"/>
      <c r="BH27" s="111">
        <f t="shared" si="20"/>
        <v>0</v>
      </c>
      <c r="BI27" s="111"/>
      <c r="BJ27" s="133">
        <f t="shared" si="4"/>
        <v>-4500079.455454641</v>
      </c>
      <c r="BK27" s="134"/>
      <c r="BL27" s="134"/>
      <c r="BM27" s="135"/>
      <c r="BN27" s="135"/>
      <c r="BO27" s="135"/>
      <c r="BP27" s="135"/>
      <c r="BQ27" s="114">
        <f t="shared" si="14"/>
        <v>-4500079.455454641</v>
      </c>
      <c r="BR27" s="114">
        <f t="shared" si="15"/>
        <v>-5142947.9490910182</v>
      </c>
      <c r="BS27" s="136"/>
      <c r="BT27" s="136"/>
      <c r="BU27" s="136"/>
      <c r="BV27" s="115">
        <f t="shared" si="16"/>
        <v>-6000105.940606188</v>
      </c>
      <c r="BW27" s="115"/>
      <c r="BX27" s="142">
        <f t="shared" si="17"/>
        <v>-9300164.2079395913</v>
      </c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16">
        <v>0</v>
      </c>
      <c r="CL27" s="116"/>
      <c r="CM27" s="119"/>
    </row>
    <row r="28" spans="1:93" s="120" customFormat="1" ht="25.5" x14ac:dyDescent="0.2">
      <c r="B28" s="99">
        <f t="shared" si="18"/>
        <v>20</v>
      </c>
      <c r="C28" s="122" t="s">
        <v>140</v>
      </c>
      <c r="D28" s="123" t="s">
        <v>141</v>
      </c>
      <c r="E28" s="122" t="s">
        <v>133</v>
      </c>
      <c r="F28" s="100" t="s">
        <v>96</v>
      </c>
      <c r="G28" s="124">
        <v>43647</v>
      </c>
      <c r="H28" s="124">
        <v>43647</v>
      </c>
      <c r="I28" s="125">
        <v>4000000</v>
      </c>
      <c r="J28" s="126">
        <v>7.7499999999999999E-2</v>
      </c>
      <c r="K28" s="105">
        <v>7.4999999999999997E-2</v>
      </c>
      <c r="L28" s="127">
        <v>0.9</v>
      </c>
      <c r="M28" s="128">
        <v>5</v>
      </c>
      <c r="N28" s="128"/>
      <c r="O28" s="127">
        <v>12</v>
      </c>
      <c r="P28" s="128">
        <f t="shared" si="5"/>
        <v>116250</v>
      </c>
      <c r="Q28" s="128">
        <f t="shared" si="6"/>
        <v>2426624.263593276</v>
      </c>
      <c r="R28" s="128">
        <f t="shared" si="7"/>
        <v>70523.767660679587</v>
      </c>
      <c r="S28" s="128">
        <f t="shared" si="8"/>
        <v>45726.232339320413</v>
      </c>
      <c r="T28" s="129">
        <v>0.606656065898319</v>
      </c>
      <c r="U28" s="128"/>
      <c r="V28" s="127">
        <v>70523.77</v>
      </c>
      <c r="W28" s="128">
        <f t="shared" si="3"/>
        <v>2426624.263593276</v>
      </c>
      <c r="X28" s="128">
        <f t="shared" si="3"/>
        <v>-2.3393204173771665E-3</v>
      </c>
      <c r="Y28" s="130">
        <f t="shared" si="9"/>
        <v>2426624.263593276</v>
      </c>
      <c r="Z28" s="130">
        <f t="shared" si="9"/>
        <v>-2.3393204173771665E-3</v>
      </c>
      <c r="AA28" s="138"/>
      <c r="AB28" s="138"/>
      <c r="AC28" s="130">
        <f t="shared" si="21"/>
        <v>-2.3393204173771665E-3</v>
      </c>
      <c r="AD28" s="131">
        <v>0</v>
      </c>
      <c r="AE28" s="131">
        <f t="shared" si="19"/>
        <v>-4.471819196897809E-2</v>
      </c>
      <c r="AF28" s="131"/>
      <c r="AG28" s="132"/>
      <c r="AH28" s="132"/>
      <c r="AI28" s="132"/>
      <c r="AJ28" s="132"/>
      <c r="AK28" s="132"/>
      <c r="AL28" s="111">
        <f t="shared" si="10"/>
        <v>-2.3393204173771665E-3</v>
      </c>
      <c r="AM28" s="111"/>
      <c r="AN28" s="111"/>
      <c r="AO28" s="111"/>
      <c r="AP28" s="111">
        <f t="shared" si="11"/>
        <v>-2.3393204173771665E-3</v>
      </c>
      <c r="AQ28" s="111"/>
      <c r="AR28" s="111">
        <f t="shared" si="12"/>
        <v>-2.3393204173771665E-3</v>
      </c>
      <c r="AS28" s="111"/>
      <c r="AT28" s="111">
        <v>0</v>
      </c>
      <c r="AU28" s="111">
        <f t="shared" ref="AU28:AU33" si="23">AR28-AT28</f>
        <v>-2.3393204173771665E-3</v>
      </c>
      <c r="AV28" s="111"/>
      <c r="AW28" s="111"/>
      <c r="AX28" s="111"/>
      <c r="AY28" s="111"/>
      <c r="AZ28" s="111"/>
      <c r="BA28" s="85">
        <f t="shared" si="13"/>
        <v>0</v>
      </c>
      <c r="BB28" s="85"/>
      <c r="BC28" s="85"/>
      <c r="BD28" s="85"/>
      <c r="BE28" s="85"/>
      <c r="BF28" s="85"/>
      <c r="BG28" s="85"/>
      <c r="BH28" s="111">
        <f t="shared" si="20"/>
        <v>0</v>
      </c>
      <c r="BI28" s="111"/>
      <c r="BJ28" s="133">
        <f t="shared" si="4"/>
        <v>-5.0307965965100357E-2</v>
      </c>
      <c r="BK28" s="134"/>
      <c r="BL28" s="134"/>
      <c r="BM28" s="135"/>
      <c r="BN28" s="135"/>
      <c r="BO28" s="135"/>
      <c r="BP28" s="135"/>
      <c r="BQ28" s="114">
        <f t="shared" si="14"/>
        <v>-5.0307965965100357E-2</v>
      </c>
      <c r="BR28" s="114">
        <f t="shared" si="15"/>
        <v>-5.7494818245828978E-2</v>
      </c>
      <c r="BS28" s="136"/>
      <c r="BT28" s="136"/>
      <c r="BU28" s="136"/>
      <c r="BV28" s="115">
        <f t="shared" si="16"/>
        <v>-6.7077287953467138E-2</v>
      </c>
      <c r="BW28" s="115"/>
      <c r="BX28" s="142">
        <f t="shared" si="17"/>
        <v>-0.10396979632787406</v>
      </c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16">
        <v>0</v>
      </c>
      <c r="CL28" s="116"/>
      <c r="CM28" s="119"/>
    </row>
    <row r="29" spans="1:93" s="174" customFormat="1" x14ac:dyDescent="0.2">
      <c r="A29" s="120"/>
      <c r="B29" s="99">
        <f t="shared" si="18"/>
        <v>21</v>
      </c>
      <c r="C29" s="122" t="s">
        <v>140</v>
      </c>
      <c r="D29" s="123" t="s">
        <v>141</v>
      </c>
      <c r="E29" s="122"/>
      <c r="F29" s="100"/>
      <c r="G29" s="124"/>
      <c r="H29" s="173" t="s">
        <v>142</v>
      </c>
      <c r="I29" s="125"/>
      <c r="J29" s="126"/>
      <c r="K29" s="105">
        <v>7.4999999999999997E-2</v>
      </c>
      <c r="L29" s="127">
        <v>0.9</v>
      </c>
      <c r="M29" s="128">
        <v>5</v>
      </c>
      <c r="N29" s="128">
        <v>4</v>
      </c>
      <c r="O29" s="127">
        <v>12</v>
      </c>
      <c r="P29" s="128"/>
      <c r="Q29" s="128"/>
      <c r="R29" s="128"/>
      <c r="S29" s="128"/>
      <c r="T29" s="129"/>
      <c r="U29" s="128"/>
      <c r="V29" s="127"/>
      <c r="W29" s="128"/>
      <c r="X29" s="128"/>
      <c r="Y29" s="130"/>
      <c r="Z29" s="130"/>
      <c r="AA29" s="138"/>
      <c r="AB29" s="138"/>
      <c r="AC29" s="130"/>
      <c r="AD29" s="131"/>
      <c r="AE29" s="131"/>
      <c r="AF29" s="131"/>
      <c r="AG29" s="132"/>
      <c r="AH29" s="132"/>
      <c r="AI29" s="132"/>
      <c r="AJ29" s="132"/>
      <c r="AK29" s="132"/>
      <c r="AL29" s="111"/>
      <c r="AM29" s="111"/>
      <c r="AN29" s="111"/>
      <c r="AO29" s="111"/>
      <c r="AP29" s="111"/>
      <c r="AQ29" s="111"/>
      <c r="AR29" s="111">
        <f t="shared" si="12"/>
        <v>0</v>
      </c>
      <c r="AS29" s="111"/>
      <c r="AT29" s="111">
        <v>0</v>
      </c>
      <c r="AU29" s="111">
        <f t="shared" si="23"/>
        <v>0</v>
      </c>
      <c r="AV29" s="111"/>
      <c r="AW29" s="111"/>
      <c r="AX29" s="111"/>
      <c r="AY29" s="111"/>
      <c r="AZ29" s="111"/>
      <c r="BA29" s="111">
        <f>CL29*7.25%*0.9*3.5/12</f>
        <v>19031.25</v>
      </c>
      <c r="BB29" s="111"/>
      <c r="BC29" s="111"/>
      <c r="BD29" s="111"/>
      <c r="BE29" s="111"/>
      <c r="BF29" s="111"/>
      <c r="BG29" s="111"/>
      <c r="BH29" s="111">
        <f t="shared" si="20"/>
        <v>19031.25</v>
      </c>
      <c r="BI29" s="111">
        <v>0</v>
      </c>
      <c r="BJ29" s="133"/>
      <c r="BK29" s="134"/>
      <c r="BL29" s="134"/>
      <c r="BM29" s="135"/>
      <c r="BN29" s="135"/>
      <c r="BO29" s="135"/>
      <c r="BP29" s="135"/>
      <c r="BQ29" s="114"/>
      <c r="BR29" s="114"/>
      <c r="BS29" s="136"/>
      <c r="BT29" s="136"/>
      <c r="BU29" s="136"/>
      <c r="BV29" s="115"/>
      <c r="BW29" s="115"/>
      <c r="BX29" s="116">
        <f t="shared" si="17"/>
        <v>0</v>
      </c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>
        <v>0</v>
      </c>
      <c r="CL29" s="116">
        <v>1000000</v>
      </c>
      <c r="CM29" s="167" t="s">
        <v>135</v>
      </c>
      <c r="CN29" s="171" t="s">
        <v>106</v>
      </c>
    </row>
    <row r="30" spans="1:93" s="118" customFormat="1" ht="25.5" x14ac:dyDescent="0.2">
      <c r="A30" s="118">
        <f>A27+1</f>
        <v>13</v>
      </c>
      <c r="B30" s="99">
        <f t="shared" si="18"/>
        <v>22</v>
      </c>
      <c r="C30" s="100" t="s">
        <v>143</v>
      </c>
      <c r="D30" s="101" t="s">
        <v>144</v>
      </c>
      <c r="E30" s="100" t="s">
        <v>133</v>
      </c>
      <c r="F30" s="100" t="s">
        <v>96</v>
      </c>
      <c r="G30" s="103">
        <v>43525</v>
      </c>
      <c r="H30" s="103">
        <v>43525</v>
      </c>
      <c r="I30" s="104">
        <v>4000000</v>
      </c>
      <c r="J30" s="105">
        <v>7.7499999999999999E-2</v>
      </c>
      <c r="K30" s="105">
        <v>7.4999999999999997E-2</v>
      </c>
      <c r="L30" s="106">
        <v>0.9</v>
      </c>
      <c r="M30" s="107">
        <v>9</v>
      </c>
      <c r="N30" s="107">
        <v>0</v>
      </c>
      <c r="O30" s="106">
        <v>12</v>
      </c>
      <c r="P30" s="107">
        <f t="shared" si="5"/>
        <v>209250</v>
      </c>
      <c r="Q30" s="107">
        <f t="shared" si="6"/>
        <v>2426624.263593276</v>
      </c>
      <c r="R30" s="107">
        <f t="shared" si="7"/>
        <v>126942.78178922326</v>
      </c>
      <c r="S30" s="107">
        <f t="shared" si="8"/>
        <v>82307.218210776744</v>
      </c>
      <c r="T30" s="108">
        <v>0.606656065898319</v>
      </c>
      <c r="U30" s="107"/>
      <c r="V30" s="106"/>
      <c r="W30" s="107">
        <f t="shared" si="3"/>
        <v>2426624.263593276</v>
      </c>
      <c r="X30" s="107">
        <f t="shared" si="3"/>
        <v>126942.78178922326</v>
      </c>
      <c r="Y30" s="109">
        <f t="shared" si="9"/>
        <v>2426624.263593276</v>
      </c>
      <c r="Z30" s="109">
        <f t="shared" si="9"/>
        <v>126942.78178922326</v>
      </c>
      <c r="AA30" s="109">
        <v>125893.97</v>
      </c>
      <c r="AB30" s="109"/>
      <c r="AC30" s="109">
        <f t="shared" si="21"/>
        <v>1048.8117892232549</v>
      </c>
      <c r="AD30" s="110">
        <v>-1616038.1627660515</v>
      </c>
      <c r="AE30" s="110">
        <f t="shared" si="19"/>
        <v>20048.970881209174</v>
      </c>
      <c r="AF30" s="110"/>
      <c r="AG30" s="83"/>
      <c r="AH30" s="111"/>
      <c r="AI30" s="111"/>
      <c r="AJ30" s="111"/>
      <c r="AK30" s="111"/>
      <c r="AL30" s="111">
        <f t="shared" si="10"/>
        <v>1048.8117892232549</v>
      </c>
      <c r="AM30" s="111"/>
      <c r="AN30" s="111"/>
      <c r="AO30" s="111"/>
      <c r="AP30" s="111">
        <f t="shared" si="11"/>
        <v>1048.8117892232549</v>
      </c>
      <c r="AQ30" s="111"/>
      <c r="AR30" s="82">
        <f t="shared" si="12"/>
        <v>1048.8117892232549</v>
      </c>
      <c r="AS30" s="82"/>
      <c r="AT30" s="82">
        <v>0</v>
      </c>
      <c r="AU30" s="85">
        <f t="shared" si="23"/>
        <v>1048.8117892232549</v>
      </c>
      <c r="AV30" s="85"/>
      <c r="AW30" s="86"/>
      <c r="AX30" s="86"/>
      <c r="AY30" s="85"/>
      <c r="AZ30" s="85"/>
      <c r="BA30" s="85">
        <f t="shared" si="13"/>
        <v>0</v>
      </c>
      <c r="BB30" s="85"/>
      <c r="BC30" s="85"/>
      <c r="BD30" s="85"/>
      <c r="BE30" s="85"/>
      <c r="BF30" s="85"/>
      <c r="BG30" s="85"/>
      <c r="BH30" s="111">
        <f t="shared" si="20"/>
        <v>0</v>
      </c>
      <c r="BI30" s="111"/>
      <c r="BJ30" s="112">
        <f t="shared" si="4"/>
        <v>22555.092241360318</v>
      </c>
      <c r="BK30" s="112"/>
      <c r="BL30" s="112"/>
      <c r="BM30" s="113"/>
      <c r="BN30" s="113"/>
      <c r="BO30" s="113"/>
      <c r="BP30" s="113"/>
      <c r="BQ30" s="114">
        <f t="shared" si="14"/>
        <v>22555.092241360318</v>
      </c>
      <c r="BR30" s="114">
        <f t="shared" si="15"/>
        <v>25777.248275840364</v>
      </c>
      <c r="BS30" s="98"/>
      <c r="BT30" s="98"/>
      <c r="BU30" s="98"/>
      <c r="BV30" s="115">
        <f t="shared" si="16"/>
        <v>30073.456321813763</v>
      </c>
      <c r="BW30" s="115"/>
      <c r="BX30" s="116">
        <f t="shared" si="17"/>
        <v>46613.85729881133</v>
      </c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>
        <v>0</v>
      </c>
      <c r="CL30" s="116"/>
      <c r="CM30" s="117"/>
    </row>
    <row r="31" spans="1:93" s="118" customFormat="1" ht="25.5" x14ac:dyDescent="0.2">
      <c r="A31" s="118">
        <f>A30+1</f>
        <v>14</v>
      </c>
      <c r="B31" s="99">
        <f t="shared" si="18"/>
        <v>23</v>
      </c>
      <c r="C31" s="100" t="s">
        <v>145</v>
      </c>
      <c r="D31" s="101" t="s">
        <v>146</v>
      </c>
      <c r="E31" s="100" t="s">
        <v>133</v>
      </c>
      <c r="F31" s="100" t="s">
        <v>96</v>
      </c>
      <c r="G31" s="103">
        <v>43556</v>
      </c>
      <c r="H31" s="103">
        <v>43556</v>
      </c>
      <c r="I31" s="104">
        <v>500000</v>
      </c>
      <c r="J31" s="105">
        <v>7.7499999999999999E-2</v>
      </c>
      <c r="K31" s="105">
        <v>7.4999999999999997E-2</v>
      </c>
      <c r="L31" s="106">
        <v>0.9</v>
      </c>
      <c r="M31" s="107">
        <v>8</v>
      </c>
      <c r="N31" s="107">
        <v>0</v>
      </c>
      <c r="O31" s="106">
        <v>12</v>
      </c>
      <c r="P31" s="107">
        <f t="shared" si="5"/>
        <v>23250</v>
      </c>
      <c r="Q31" s="107">
        <f t="shared" si="6"/>
        <v>303328.0329491595</v>
      </c>
      <c r="R31" s="107">
        <f t="shared" si="7"/>
        <v>14104.753532135917</v>
      </c>
      <c r="S31" s="107">
        <f t="shared" si="8"/>
        <v>9145.2464678640827</v>
      </c>
      <c r="T31" s="108">
        <v>0.606656065898319</v>
      </c>
      <c r="U31" s="107"/>
      <c r="V31" s="106"/>
      <c r="W31" s="107">
        <f t="shared" si="3"/>
        <v>303328.0329491595</v>
      </c>
      <c r="X31" s="107">
        <f t="shared" si="3"/>
        <v>14104.753532135917</v>
      </c>
      <c r="Y31" s="109">
        <f t="shared" si="9"/>
        <v>303328.0329491595</v>
      </c>
      <c r="Z31" s="109">
        <f t="shared" si="9"/>
        <v>14104.753532135917</v>
      </c>
      <c r="AA31" s="109"/>
      <c r="AB31" s="109"/>
      <c r="AC31" s="109">
        <f t="shared" si="21"/>
        <v>14104.753532135917</v>
      </c>
      <c r="AD31" s="110">
        <v>242662.42635932763</v>
      </c>
      <c r="AE31" s="110">
        <f t="shared" si="19"/>
        <v>269624.91817703069</v>
      </c>
      <c r="AF31" s="110"/>
      <c r="AG31" s="83"/>
      <c r="AH31" s="111"/>
      <c r="AI31" s="111"/>
      <c r="AJ31" s="111">
        <v>13995.39</v>
      </c>
      <c r="AK31" s="111"/>
      <c r="AL31" s="111">
        <f t="shared" si="10"/>
        <v>109.36353213591792</v>
      </c>
      <c r="AM31" s="111"/>
      <c r="AN31" s="111"/>
      <c r="AO31" s="111"/>
      <c r="AP31" s="111">
        <f t="shared" si="11"/>
        <v>109.36353213591792</v>
      </c>
      <c r="AQ31" s="111"/>
      <c r="AR31" s="82">
        <f t="shared" si="12"/>
        <v>109.36353213591792</v>
      </c>
      <c r="AS31" s="82"/>
      <c r="AT31" s="82">
        <v>0</v>
      </c>
      <c r="AU31" s="85">
        <f t="shared" si="23"/>
        <v>109.36353213591792</v>
      </c>
      <c r="AV31" s="85"/>
      <c r="AW31" s="86"/>
      <c r="AX31" s="86"/>
      <c r="AY31" s="85"/>
      <c r="AZ31" s="85"/>
      <c r="BA31" s="85">
        <f t="shared" si="13"/>
        <v>0</v>
      </c>
      <c r="BB31" s="85"/>
      <c r="BC31" s="85"/>
      <c r="BD31" s="85"/>
      <c r="BE31" s="85"/>
      <c r="BF31" s="85"/>
      <c r="BG31" s="85"/>
      <c r="BH31" s="111">
        <f t="shared" si="20"/>
        <v>0</v>
      </c>
      <c r="BI31" s="111"/>
      <c r="BJ31" s="112">
        <f t="shared" si="4"/>
        <v>303328.0329491595</v>
      </c>
      <c r="BK31" s="112"/>
      <c r="BL31" s="112"/>
      <c r="BM31" s="113"/>
      <c r="BN31" s="113"/>
      <c r="BO31" s="112">
        <v>465000</v>
      </c>
      <c r="BP31" s="112"/>
      <c r="BQ31" s="114">
        <f t="shared" si="14"/>
        <v>-161671.9670508405</v>
      </c>
      <c r="BR31" s="114">
        <f t="shared" si="15"/>
        <v>2687.890190744527</v>
      </c>
      <c r="BS31" s="98"/>
      <c r="BT31" s="98"/>
      <c r="BU31" s="98"/>
      <c r="BV31" s="115">
        <f t="shared" si="16"/>
        <v>3135.8718892019479</v>
      </c>
      <c r="BW31" s="115"/>
      <c r="BX31" s="116">
        <f t="shared" si="17"/>
        <v>4860.6014282630185</v>
      </c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>
        <v>0</v>
      </c>
      <c r="CL31" s="116"/>
      <c r="CM31" s="117"/>
    </row>
    <row r="32" spans="1:93" s="2" customFormat="1" ht="25.5" x14ac:dyDescent="0.2">
      <c r="B32" s="145">
        <f t="shared" si="18"/>
        <v>24</v>
      </c>
      <c r="C32" s="148" t="s">
        <v>147</v>
      </c>
      <c r="D32" s="164" t="s">
        <v>146</v>
      </c>
      <c r="E32" s="148"/>
      <c r="F32" s="148" t="s">
        <v>96</v>
      </c>
      <c r="G32" s="149"/>
      <c r="H32" s="149" t="s">
        <v>148</v>
      </c>
      <c r="I32" s="150">
        <v>0</v>
      </c>
      <c r="J32" s="151"/>
      <c r="K32" s="151">
        <v>7.2499999999999995E-2</v>
      </c>
      <c r="L32" s="220">
        <v>0.9</v>
      </c>
      <c r="M32" s="208">
        <v>5</v>
      </c>
      <c r="N32" s="208">
        <v>2.5</v>
      </c>
      <c r="O32" s="220">
        <v>12</v>
      </c>
      <c r="P32" s="153"/>
      <c r="Q32" s="153"/>
      <c r="R32" s="153"/>
      <c r="S32" s="153"/>
      <c r="T32" s="154"/>
      <c r="U32" s="153"/>
      <c r="V32" s="152"/>
      <c r="W32" s="153"/>
      <c r="X32" s="153"/>
      <c r="Y32" s="155"/>
      <c r="Z32" s="155"/>
      <c r="AA32" s="155"/>
      <c r="AB32" s="155"/>
      <c r="AC32" s="155"/>
      <c r="AD32" s="156"/>
      <c r="AE32" s="156"/>
      <c r="AF32" s="156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>
        <f t="shared" si="12"/>
        <v>0</v>
      </c>
      <c r="AS32" s="83"/>
      <c r="AT32" s="83">
        <v>0</v>
      </c>
      <c r="AU32" s="83">
        <f t="shared" si="23"/>
        <v>0</v>
      </c>
      <c r="AV32" s="83"/>
      <c r="AW32" s="83"/>
      <c r="AX32" s="83"/>
      <c r="AY32" s="83"/>
      <c r="AZ32" s="83"/>
      <c r="BA32" s="83">
        <f>CL32*7.25%*0.9*3.5/12</f>
        <v>9515.625</v>
      </c>
      <c r="BB32" s="83"/>
      <c r="BC32" s="83"/>
      <c r="BD32" s="83"/>
      <c r="BE32" s="83"/>
      <c r="BF32" s="83"/>
      <c r="BG32" s="83"/>
      <c r="BH32" s="83">
        <f t="shared" si="20"/>
        <v>9515.625</v>
      </c>
      <c r="BI32" s="83">
        <f>CK32*K32*L32*N32/O32</f>
        <v>2718.7499999999995</v>
      </c>
      <c r="BJ32" s="159"/>
      <c r="BK32" s="159"/>
      <c r="BL32" s="159"/>
      <c r="BM32" s="89"/>
      <c r="BN32" s="89"/>
      <c r="BO32" s="159"/>
      <c r="BP32" s="159"/>
      <c r="BQ32" s="160"/>
      <c r="BR32" s="160"/>
      <c r="BS32" s="161"/>
      <c r="BT32" s="161"/>
      <c r="BU32" s="161"/>
      <c r="BV32" s="162"/>
      <c r="BW32" s="162"/>
      <c r="BX32" s="95">
        <f t="shared" si="17"/>
        <v>0</v>
      </c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>
        <v>200000</v>
      </c>
      <c r="CL32" s="95">
        <v>500000</v>
      </c>
      <c r="CM32" s="170" t="s">
        <v>135</v>
      </c>
      <c r="CN32" s="171" t="s">
        <v>106</v>
      </c>
    </row>
    <row r="33" spans="1:93" s="177" customFormat="1" ht="51" x14ac:dyDescent="0.2">
      <c r="A33" s="177">
        <f>A31+1</f>
        <v>15</v>
      </c>
      <c r="B33" s="99">
        <f t="shared" si="18"/>
        <v>25</v>
      </c>
      <c r="C33" s="179" t="s">
        <v>149</v>
      </c>
      <c r="D33" s="180" t="s">
        <v>150</v>
      </c>
      <c r="E33" s="179" t="s">
        <v>151</v>
      </c>
      <c r="F33" s="179" t="s">
        <v>134</v>
      </c>
      <c r="G33" s="173">
        <v>43586</v>
      </c>
      <c r="H33" s="173" t="s">
        <v>97</v>
      </c>
      <c r="I33" s="181">
        <v>20000000</v>
      </c>
      <c r="J33" s="182">
        <v>7.7499999999999999E-2</v>
      </c>
      <c r="K33" s="182">
        <v>7.4999999999999997E-2</v>
      </c>
      <c r="L33" s="183">
        <v>0.9</v>
      </c>
      <c r="M33" s="184">
        <v>7</v>
      </c>
      <c r="N33" s="184">
        <v>4</v>
      </c>
      <c r="O33" s="183">
        <v>12</v>
      </c>
      <c r="P33" s="184">
        <f t="shared" si="5"/>
        <v>813750</v>
      </c>
      <c r="Q33" s="184">
        <f t="shared" si="6"/>
        <v>12133121.317966379</v>
      </c>
      <c r="R33" s="184">
        <f t="shared" si="7"/>
        <v>493666.37362475699</v>
      </c>
      <c r="S33" s="184">
        <f t="shared" si="8"/>
        <v>320083.62637524301</v>
      </c>
      <c r="T33" s="185">
        <v>0.606656065898319</v>
      </c>
      <c r="U33" s="184"/>
      <c r="V33" s="183"/>
      <c r="W33" s="184">
        <f t="shared" si="3"/>
        <v>12133121.317966379</v>
      </c>
      <c r="X33" s="184">
        <f t="shared" si="3"/>
        <v>493666.37362475699</v>
      </c>
      <c r="Y33" s="186">
        <f t="shared" si="9"/>
        <v>12133121.317966379</v>
      </c>
      <c r="Z33" s="186">
        <f t="shared" si="9"/>
        <v>493666.37362475699</v>
      </c>
      <c r="AA33" s="186"/>
      <c r="AB33" s="186"/>
      <c r="AC33" s="186">
        <f t="shared" si="21"/>
        <v>493666.37362475699</v>
      </c>
      <c r="AD33" s="187">
        <v>8493184.9225764647</v>
      </c>
      <c r="AE33" s="187">
        <f t="shared" si="19"/>
        <v>9436872.1361960731</v>
      </c>
      <c r="AF33" s="187"/>
      <c r="AG33" s="188"/>
      <c r="AH33" s="188"/>
      <c r="AI33" s="188"/>
      <c r="AJ33" s="188"/>
      <c r="AK33" s="188"/>
      <c r="AL33" s="188">
        <f t="shared" si="10"/>
        <v>493666.37362475699</v>
      </c>
      <c r="AM33" s="188"/>
      <c r="AN33" s="188"/>
      <c r="AO33" s="188"/>
      <c r="AP33" s="188">
        <f t="shared" si="11"/>
        <v>493666.37362475699</v>
      </c>
      <c r="AQ33" s="188"/>
      <c r="AR33" s="188">
        <f t="shared" si="12"/>
        <v>493666.37362475699</v>
      </c>
      <c r="AS33" s="188"/>
      <c r="AT33" s="188">
        <v>493666.37</v>
      </c>
      <c r="AU33" s="188">
        <f t="shared" si="23"/>
        <v>3.6247569951228797E-3</v>
      </c>
      <c r="AV33" s="188"/>
      <c r="AW33" s="188"/>
      <c r="AX33" s="188"/>
      <c r="AY33" s="188">
        <v>337500</v>
      </c>
      <c r="AZ33" s="188">
        <v>374517.12</v>
      </c>
      <c r="BA33" s="188">
        <f>CL33*7.25%*0.9*3.5/12</f>
        <v>380625</v>
      </c>
      <c r="BB33" s="188"/>
      <c r="BC33" s="188">
        <v>326250</v>
      </c>
      <c r="BD33" s="188"/>
      <c r="BE33" s="188"/>
      <c r="BF33" s="188"/>
      <c r="BG33" s="188"/>
      <c r="BH33" s="188">
        <f t="shared" si="20"/>
        <v>54375</v>
      </c>
      <c r="BI33" s="188">
        <v>0</v>
      </c>
      <c r="BJ33" s="189">
        <f t="shared" si="4"/>
        <v>10616481.153220581</v>
      </c>
      <c r="BK33" s="189"/>
      <c r="BL33" s="189"/>
      <c r="BM33" s="190"/>
      <c r="BN33" s="190"/>
      <c r="BO33" s="190"/>
      <c r="BP33" s="190"/>
      <c r="BQ33" s="191">
        <f t="shared" si="14"/>
        <v>10616481.153220581</v>
      </c>
      <c r="BR33" s="191">
        <f t="shared" si="15"/>
        <v>12133121.317966379</v>
      </c>
      <c r="BS33" s="192"/>
      <c r="BT33" s="192"/>
      <c r="BU33" s="192"/>
      <c r="BV33" s="193">
        <f t="shared" si="16"/>
        <v>14155308.204294108</v>
      </c>
      <c r="BW33" s="193"/>
      <c r="BX33" s="194">
        <f t="shared" si="17"/>
        <v>21940727.716655869</v>
      </c>
      <c r="BY33" s="194">
        <f>AT33/K33/L33/N33*O33</f>
        <v>21940727.555555556</v>
      </c>
      <c r="BZ33" s="194"/>
      <c r="CA33" s="194"/>
      <c r="CB33" s="194"/>
      <c r="CC33" s="194">
        <v>20000000</v>
      </c>
      <c r="CD33" s="194">
        <v>20000000</v>
      </c>
      <c r="CE33" s="194"/>
      <c r="CF33" s="194">
        <v>20000000</v>
      </c>
      <c r="CG33" s="194"/>
      <c r="CH33" s="194"/>
      <c r="CI33" s="194"/>
      <c r="CJ33" s="194"/>
      <c r="CK33" s="194">
        <v>0</v>
      </c>
      <c r="CL33" s="194">
        <v>20000000</v>
      </c>
      <c r="CM33" s="195" t="s">
        <v>152</v>
      </c>
      <c r="CN33" s="179" t="s">
        <v>151</v>
      </c>
      <c r="CO33" s="195" t="s">
        <v>153</v>
      </c>
    </row>
    <row r="34" spans="1:93" s="196" customFormat="1" ht="25.5" x14ac:dyDescent="0.2">
      <c r="A34" s="196">
        <f>A33+1</f>
        <v>16</v>
      </c>
      <c r="B34" s="99">
        <f t="shared" si="18"/>
        <v>26</v>
      </c>
      <c r="C34" s="122" t="s">
        <v>154</v>
      </c>
      <c r="D34" s="123" t="s">
        <v>155</v>
      </c>
      <c r="E34" s="122" t="s">
        <v>95</v>
      </c>
      <c r="F34" s="100" t="s">
        <v>96</v>
      </c>
      <c r="G34" s="124">
        <v>43525</v>
      </c>
      <c r="H34" s="124">
        <v>43525</v>
      </c>
      <c r="I34" s="125">
        <v>5000000</v>
      </c>
      <c r="J34" s="126">
        <v>7.7499999999999999E-2</v>
      </c>
      <c r="K34" s="105">
        <v>7.4999999999999997E-2</v>
      </c>
      <c r="L34" s="127">
        <v>0.9</v>
      </c>
      <c r="M34" s="128">
        <v>9</v>
      </c>
      <c r="N34" s="128"/>
      <c r="O34" s="127">
        <v>12</v>
      </c>
      <c r="P34" s="128">
        <f t="shared" si="5"/>
        <v>261562.5</v>
      </c>
      <c r="Q34" s="128">
        <f t="shared" si="6"/>
        <v>3033280.3294915948</v>
      </c>
      <c r="R34" s="128">
        <f t="shared" si="7"/>
        <v>158678.47723652906</v>
      </c>
      <c r="S34" s="128">
        <f t="shared" si="8"/>
        <v>102884.02276347094</v>
      </c>
      <c r="T34" s="129">
        <v>0.606656065898319</v>
      </c>
      <c r="U34" s="128">
        <v>7000000</v>
      </c>
      <c r="V34" s="128">
        <v>406875</v>
      </c>
      <c r="W34" s="128">
        <f t="shared" si="3"/>
        <v>-3966719.6705084052</v>
      </c>
      <c r="X34" s="128">
        <f t="shared" si="3"/>
        <v>-248196.52276347094</v>
      </c>
      <c r="Y34" s="130">
        <f t="shared" si="9"/>
        <v>-3966719.6705084052</v>
      </c>
      <c r="Z34" s="130">
        <f t="shared" si="9"/>
        <v>-248196.52276347094</v>
      </c>
      <c r="AA34" s="130"/>
      <c r="AB34" s="130"/>
      <c r="AC34" s="130">
        <f t="shared" si="21"/>
        <v>-248196.52276347094</v>
      </c>
      <c r="AD34" s="131">
        <v>-4270047.7034575641</v>
      </c>
      <c r="AE34" s="131">
        <f t="shared" si="19"/>
        <v>-4744497.4482861832</v>
      </c>
      <c r="AF34" s="131"/>
      <c r="AG34" s="198"/>
      <c r="AH34" s="132"/>
      <c r="AI34" s="132"/>
      <c r="AJ34" s="132"/>
      <c r="AK34" s="132"/>
      <c r="AL34" s="111">
        <f t="shared" si="10"/>
        <v>-248196.52276347094</v>
      </c>
      <c r="AM34" s="111"/>
      <c r="AN34" s="111"/>
      <c r="AO34" s="111"/>
      <c r="AP34" s="111">
        <f t="shared" si="11"/>
        <v>-248196.52276347094</v>
      </c>
      <c r="AQ34" s="111"/>
      <c r="AR34" s="111">
        <f t="shared" si="12"/>
        <v>-248196.52276347094</v>
      </c>
      <c r="AS34" s="111"/>
      <c r="AT34" s="111">
        <v>0</v>
      </c>
      <c r="AU34" s="85"/>
      <c r="AV34" s="85"/>
      <c r="AW34" s="86"/>
      <c r="AX34" s="86"/>
      <c r="AY34" s="85"/>
      <c r="AZ34" s="85"/>
      <c r="BA34" s="85">
        <f t="shared" si="13"/>
        <v>0</v>
      </c>
      <c r="BB34" s="85"/>
      <c r="BC34" s="85"/>
      <c r="BD34" s="85"/>
      <c r="BE34" s="85"/>
      <c r="BF34" s="85"/>
      <c r="BG34" s="85"/>
      <c r="BH34" s="111">
        <f t="shared" si="20"/>
        <v>0</v>
      </c>
      <c r="BI34" s="111"/>
      <c r="BJ34" s="133">
        <f t="shared" si="4"/>
        <v>-5337559.6293219561</v>
      </c>
      <c r="BK34" s="134"/>
      <c r="BL34" s="134"/>
      <c r="BM34" s="135"/>
      <c r="BN34" s="135"/>
      <c r="BO34" s="135"/>
      <c r="BP34" s="135"/>
      <c r="BQ34" s="114">
        <f t="shared" si="14"/>
        <v>-5337559.6293219561</v>
      </c>
      <c r="BR34" s="114">
        <f t="shared" si="15"/>
        <v>-6100068.147796521</v>
      </c>
      <c r="BS34" s="136"/>
      <c r="BT34" s="136"/>
      <c r="BU34" s="136"/>
      <c r="BV34" s="115">
        <f t="shared" si="16"/>
        <v>-7116746.1724292748</v>
      </c>
      <c r="BW34" s="115"/>
      <c r="BX34" s="142">
        <f t="shared" si="17"/>
        <v>-11030956.567265375</v>
      </c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16">
        <v>0</v>
      </c>
      <c r="CL34" s="93"/>
      <c r="CM34" s="199"/>
    </row>
    <row r="35" spans="1:93" s="120" customFormat="1" ht="25.5" x14ac:dyDescent="0.2">
      <c r="B35" s="99">
        <f t="shared" si="18"/>
        <v>27</v>
      </c>
      <c r="C35" s="122" t="s">
        <v>154</v>
      </c>
      <c r="D35" s="123" t="s">
        <v>155</v>
      </c>
      <c r="E35" s="122" t="s">
        <v>95</v>
      </c>
      <c r="F35" s="100" t="s">
        <v>96</v>
      </c>
      <c r="G35" s="124"/>
      <c r="H35" s="124" t="s">
        <v>97</v>
      </c>
      <c r="I35" s="125"/>
      <c r="J35" s="126"/>
      <c r="K35" s="105">
        <v>7.4999999999999997E-2</v>
      </c>
      <c r="L35" s="127">
        <v>0.9</v>
      </c>
      <c r="M35" s="128">
        <v>9</v>
      </c>
      <c r="N35" s="128">
        <v>4</v>
      </c>
      <c r="O35" s="127">
        <v>12</v>
      </c>
      <c r="P35" s="128"/>
      <c r="Q35" s="128"/>
      <c r="R35" s="128"/>
      <c r="S35" s="128"/>
      <c r="T35" s="129"/>
      <c r="U35" s="128"/>
      <c r="V35" s="128"/>
      <c r="W35" s="128"/>
      <c r="X35" s="128"/>
      <c r="Y35" s="130"/>
      <c r="Z35" s="130"/>
      <c r="AA35" s="130"/>
      <c r="AB35" s="130"/>
      <c r="AC35" s="130"/>
      <c r="AD35" s="131"/>
      <c r="AE35" s="131"/>
      <c r="AF35" s="131"/>
      <c r="AG35" s="132"/>
      <c r="AH35" s="132"/>
      <c r="AI35" s="132"/>
      <c r="AJ35" s="132"/>
      <c r="AK35" s="132"/>
      <c r="AL35" s="111"/>
      <c r="AM35" s="111"/>
      <c r="AN35" s="111"/>
      <c r="AO35" s="111"/>
      <c r="AP35" s="111"/>
      <c r="AQ35" s="111"/>
      <c r="AR35" s="111">
        <f t="shared" si="12"/>
        <v>0</v>
      </c>
      <c r="AS35" s="111"/>
      <c r="AT35" s="111">
        <v>0</v>
      </c>
      <c r="AU35" s="111">
        <f>AR35-AT35</f>
        <v>0</v>
      </c>
      <c r="AV35" s="111"/>
      <c r="AW35" s="111"/>
      <c r="AX35" s="111"/>
      <c r="AY35" s="111">
        <v>33750</v>
      </c>
      <c r="AZ35" s="111"/>
      <c r="BA35" s="111">
        <f t="shared" si="13"/>
        <v>33750</v>
      </c>
      <c r="BB35" s="111">
        <v>32625</v>
      </c>
      <c r="BC35" s="111"/>
      <c r="BD35" s="111"/>
      <c r="BE35" s="111"/>
      <c r="BF35" s="111"/>
      <c r="BG35" s="111"/>
      <c r="BH35" s="111">
        <f t="shared" si="20"/>
        <v>1125</v>
      </c>
      <c r="BI35" s="111">
        <v>0</v>
      </c>
      <c r="BJ35" s="133"/>
      <c r="BK35" s="134"/>
      <c r="BL35" s="134"/>
      <c r="BM35" s="135"/>
      <c r="BN35" s="135"/>
      <c r="BO35" s="135"/>
      <c r="BP35" s="135"/>
      <c r="BQ35" s="114"/>
      <c r="BR35" s="114"/>
      <c r="BS35" s="136"/>
      <c r="BT35" s="136"/>
      <c r="BU35" s="136"/>
      <c r="BV35" s="115"/>
      <c r="BW35" s="115"/>
      <c r="BX35" s="116">
        <f t="shared" si="17"/>
        <v>0</v>
      </c>
      <c r="BY35" s="116"/>
      <c r="BZ35" s="116"/>
      <c r="CA35" s="116"/>
      <c r="CB35" s="116"/>
      <c r="CC35" s="116"/>
      <c r="CD35" s="116">
        <v>1500000</v>
      </c>
      <c r="CE35" s="116">
        <v>1500000</v>
      </c>
      <c r="CF35" s="116"/>
      <c r="CG35" s="116"/>
      <c r="CH35" s="116"/>
      <c r="CI35" s="116"/>
      <c r="CJ35" s="116"/>
      <c r="CK35" s="116">
        <v>0</v>
      </c>
      <c r="CL35" s="116">
        <v>1500000</v>
      </c>
      <c r="CM35" s="119"/>
      <c r="CN35" s="118" t="s">
        <v>95</v>
      </c>
    </row>
    <row r="36" spans="1:93" s="118" customFormat="1" ht="25.5" x14ac:dyDescent="0.2">
      <c r="A36" s="118">
        <f>A34+1</f>
        <v>17</v>
      </c>
      <c r="B36" s="99">
        <f t="shared" si="18"/>
        <v>28</v>
      </c>
      <c r="C36" s="100" t="s">
        <v>156</v>
      </c>
      <c r="D36" s="101" t="s">
        <v>157</v>
      </c>
      <c r="E36" s="100" t="s">
        <v>95</v>
      </c>
      <c r="F36" s="100" t="s">
        <v>96</v>
      </c>
      <c r="G36" s="103">
        <v>43497</v>
      </c>
      <c r="H36" s="103" t="s">
        <v>158</v>
      </c>
      <c r="I36" s="104">
        <v>6000000</v>
      </c>
      <c r="J36" s="105">
        <v>7.7499999999999999E-2</v>
      </c>
      <c r="K36" s="76">
        <v>7.4999999999999997E-2</v>
      </c>
      <c r="L36" s="106">
        <v>0.9</v>
      </c>
      <c r="M36" s="107">
        <v>10</v>
      </c>
      <c r="N36" s="107"/>
      <c r="O36" s="106">
        <v>12</v>
      </c>
      <c r="P36" s="107">
        <f t="shared" si="5"/>
        <v>348750</v>
      </c>
      <c r="Q36" s="107">
        <f t="shared" si="6"/>
        <v>3639936.395389914</v>
      </c>
      <c r="R36" s="107">
        <f t="shared" si="7"/>
        <v>211571.30298203873</v>
      </c>
      <c r="S36" s="107">
        <f t="shared" si="8"/>
        <v>137178.69701796127</v>
      </c>
      <c r="T36" s="108">
        <v>0.606656065898319</v>
      </c>
      <c r="U36" s="107"/>
      <c r="V36" s="106"/>
      <c r="W36" s="107">
        <f t="shared" si="3"/>
        <v>3639936.395389914</v>
      </c>
      <c r="X36" s="107">
        <f t="shared" si="3"/>
        <v>211571.30298203873</v>
      </c>
      <c r="Y36" s="109">
        <f t="shared" si="9"/>
        <v>3639936.395389914</v>
      </c>
      <c r="Z36" s="109">
        <f t="shared" si="9"/>
        <v>211571.30298203873</v>
      </c>
      <c r="AA36" s="109"/>
      <c r="AB36" s="109"/>
      <c r="AC36" s="109">
        <f t="shared" si="21"/>
        <v>211571.30298203873</v>
      </c>
      <c r="AD36" s="110">
        <v>3639936.395389914</v>
      </c>
      <c r="AE36" s="110">
        <f t="shared" si="19"/>
        <v>4044373.7726554601</v>
      </c>
      <c r="AF36" s="110">
        <v>211571.28</v>
      </c>
      <c r="AG36" s="83"/>
      <c r="AH36" s="111"/>
      <c r="AI36" s="111"/>
      <c r="AJ36" s="111"/>
      <c r="AK36" s="111"/>
      <c r="AL36" s="111">
        <f t="shared" si="10"/>
        <v>2.2982038732152432E-2</v>
      </c>
      <c r="AM36" s="111"/>
      <c r="AN36" s="111"/>
      <c r="AO36" s="111"/>
      <c r="AP36" s="111">
        <f t="shared" si="11"/>
        <v>2.2982038732152432E-2</v>
      </c>
      <c r="AQ36" s="111"/>
      <c r="AR36" s="111">
        <f t="shared" si="12"/>
        <v>2.2982038732152432E-2</v>
      </c>
      <c r="AS36" s="111"/>
      <c r="AT36" s="111">
        <v>0</v>
      </c>
      <c r="AU36" s="85">
        <f>AR36-AT36</f>
        <v>2.2982038732152432E-2</v>
      </c>
      <c r="AV36" s="85"/>
      <c r="AW36" s="86"/>
      <c r="AX36" s="86"/>
      <c r="AY36" s="85"/>
      <c r="AZ36" s="85"/>
      <c r="BA36" s="85">
        <f t="shared" si="13"/>
        <v>0</v>
      </c>
      <c r="BB36" s="85"/>
      <c r="BC36" s="85"/>
      <c r="BD36" s="85"/>
      <c r="BE36" s="85"/>
      <c r="BF36" s="85"/>
      <c r="BG36" s="85"/>
      <c r="BH36" s="111">
        <f t="shared" si="20"/>
        <v>0</v>
      </c>
      <c r="BI36" s="111"/>
      <c r="BJ36" s="112">
        <f t="shared" si="4"/>
        <v>4549920.4942373922</v>
      </c>
      <c r="BK36" s="200">
        <v>4549920</v>
      </c>
      <c r="BL36" s="200"/>
      <c r="BM36" s="113"/>
      <c r="BN36" s="113"/>
      <c r="BO36" s="113"/>
      <c r="BP36" s="113"/>
      <c r="BQ36" s="114">
        <f t="shared" si="14"/>
        <v>0.49423739220947027</v>
      </c>
      <c r="BR36" s="114">
        <f t="shared" si="15"/>
        <v>0.56484273381634242</v>
      </c>
      <c r="BS36" s="98"/>
      <c r="BT36" s="98"/>
      <c r="BU36" s="98"/>
      <c r="BV36" s="115">
        <f t="shared" si="16"/>
        <v>0.65898318945239942</v>
      </c>
      <c r="BW36" s="115"/>
      <c r="BX36" s="116">
        <f t="shared" si="17"/>
        <v>1.0214239436512191</v>
      </c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>
        <v>0</v>
      </c>
      <c r="CL36" s="116"/>
      <c r="CM36" s="117"/>
    </row>
    <row r="37" spans="1:93" s="2" customFormat="1" ht="24" customHeight="1" x14ac:dyDescent="0.2">
      <c r="A37" s="2">
        <f>A36+1</f>
        <v>18</v>
      </c>
      <c r="B37" s="145">
        <f t="shared" si="18"/>
        <v>29</v>
      </c>
      <c r="C37" s="148" t="s">
        <v>159</v>
      </c>
      <c r="D37" s="164" t="s">
        <v>160</v>
      </c>
      <c r="E37" s="148" t="s">
        <v>161</v>
      </c>
      <c r="F37" s="148" t="s">
        <v>96</v>
      </c>
      <c r="G37" s="149">
        <v>43586</v>
      </c>
      <c r="H37" s="149" t="s">
        <v>124</v>
      </c>
      <c r="I37" s="150">
        <v>10000000</v>
      </c>
      <c r="J37" s="151">
        <v>7.7499999999999999E-2</v>
      </c>
      <c r="K37" s="151">
        <v>7.2499999999999995E-2</v>
      </c>
      <c r="L37" s="152">
        <v>0.9</v>
      </c>
      <c r="M37" s="153">
        <v>7</v>
      </c>
      <c r="N37" s="153">
        <v>2</v>
      </c>
      <c r="O37" s="152">
        <v>12</v>
      </c>
      <c r="P37" s="153">
        <f t="shared" si="5"/>
        <v>406875</v>
      </c>
      <c r="Q37" s="153">
        <f t="shared" si="6"/>
        <v>6066560.6589831896</v>
      </c>
      <c r="R37" s="153">
        <f t="shared" si="7"/>
        <v>246833.1868123785</v>
      </c>
      <c r="S37" s="153">
        <f t="shared" si="8"/>
        <v>160041.8131876215</v>
      </c>
      <c r="T37" s="154">
        <v>0.606656065898319</v>
      </c>
      <c r="U37" s="153"/>
      <c r="V37" s="152"/>
      <c r="W37" s="153">
        <f t="shared" si="3"/>
        <v>6066560.6589831896</v>
      </c>
      <c r="X37" s="153">
        <f t="shared" si="3"/>
        <v>246833.1868123785</v>
      </c>
      <c r="Y37" s="155">
        <f t="shared" si="9"/>
        <v>6066560.6589831896</v>
      </c>
      <c r="Z37" s="155">
        <f t="shared" si="9"/>
        <v>246833.1868123785</v>
      </c>
      <c r="AA37" s="155"/>
      <c r="AB37" s="155"/>
      <c r="AC37" s="155">
        <f t="shared" si="21"/>
        <v>246833.1868123785</v>
      </c>
      <c r="AD37" s="156">
        <v>4246592.4612882324</v>
      </c>
      <c r="AE37" s="156">
        <f t="shared" si="19"/>
        <v>4718436.0680980366</v>
      </c>
      <c r="AF37" s="156"/>
      <c r="AG37" s="83"/>
      <c r="AH37" s="83"/>
      <c r="AI37" s="83"/>
      <c r="AJ37" s="83"/>
      <c r="AK37" s="83"/>
      <c r="AL37" s="83">
        <f t="shared" si="10"/>
        <v>246833.1868123785</v>
      </c>
      <c r="AM37" s="83"/>
      <c r="AN37" s="83"/>
      <c r="AO37" s="83"/>
      <c r="AP37" s="83">
        <f t="shared" si="11"/>
        <v>246833.1868123785</v>
      </c>
      <c r="AQ37" s="83"/>
      <c r="AR37" s="83">
        <f t="shared" si="12"/>
        <v>246833.1868123785</v>
      </c>
      <c r="AS37" s="83"/>
      <c r="AT37" s="83">
        <f>BY37*K37*L37*N37/O37</f>
        <v>108750</v>
      </c>
      <c r="AU37" s="83">
        <f>AR37-AT37</f>
        <v>138083.1868123785</v>
      </c>
      <c r="AV37" s="83"/>
      <c r="AW37" s="83"/>
      <c r="AX37" s="83"/>
      <c r="AY37" s="83">
        <v>112500</v>
      </c>
      <c r="AZ37" s="83"/>
      <c r="BA37" s="83">
        <f t="shared" si="13"/>
        <v>112500</v>
      </c>
      <c r="BB37" s="83"/>
      <c r="BC37" s="83"/>
      <c r="BD37" s="83"/>
      <c r="BE37" s="83"/>
      <c r="BF37" s="83"/>
      <c r="BG37" s="83"/>
      <c r="BH37" s="83">
        <f t="shared" si="20"/>
        <v>112500</v>
      </c>
      <c r="BI37" s="83">
        <f>CK37*K37*L37*N37/O37</f>
        <v>108750</v>
      </c>
      <c r="BJ37" s="159">
        <f t="shared" si="4"/>
        <v>5308240.5766102904</v>
      </c>
      <c r="BK37" s="159"/>
      <c r="BL37" s="159"/>
      <c r="BM37" s="89"/>
      <c r="BN37" s="89"/>
      <c r="BO37" s="89"/>
      <c r="BP37" s="89"/>
      <c r="BQ37" s="160">
        <f t="shared" si="14"/>
        <v>5308240.5766102904</v>
      </c>
      <c r="BR37" s="160">
        <f t="shared" si="15"/>
        <v>6066560.6589831896</v>
      </c>
      <c r="BS37" s="161"/>
      <c r="BT37" s="161"/>
      <c r="BU37" s="161"/>
      <c r="BV37" s="162">
        <f t="shared" si="16"/>
        <v>7077654.1021470539</v>
      </c>
      <c r="BW37" s="162"/>
      <c r="BX37" s="95">
        <f t="shared" si="17"/>
        <v>11348652.267235793</v>
      </c>
      <c r="BY37" s="95">
        <v>10000000</v>
      </c>
      <c r="BZ37" s="95"/>
      <c r="CA37" s="95"/>
      <c r="CB37" s="95"/>
      <c r="CC37" s="95"/>
      <c r="CD37" s="95">
        <v>10000000</v>
      </c>
      <c r="CE37" s="95"/>
      <c r="CF37" s="95"/>
      <c r="CG37" s="95"/>
      <c r="CH37" s="95"/>
      <c r="CI37" s="95"/>
      <c r="CJ37" s="95"/>
      <c r="CK37" s="95">
        <v>10000000</v>
      </c>
      <c r="CL37" s="95">
        <v>10000000</v>
      </c>
      <c r="CM37" s="163"/>
      <c r="CN37" s="145" t="s">
        <v>109</v>
      </c>
      <c r="CO37" s="170" t="s">
        <v>162</v>
      </c>
    </row>
    <row r="38" spans="1:93" s="196" customFormat="1" ht="25.5" x14ac:dyDescent="0.2">
      <c r="A38" s="196">
        <f>A37+1</f>
        <v>19</v>
      </c>
      <c r="B38" s="99">
        <f t="shared" si="18"/>
        <v>30</v>
      </c>
      <c r="C38" s="122" t="s">
        <v>163</v>
      </c>
      <c r="D38" s="123" t="s">
        <v>164</v>
      </c>
      <c r="E38" s="122" t="s">
        <v>95</v>
      </c>
      <c r="F38" s="100" t="s">
        <v>134</v>
      </c>
      <c r="G38" s="124">
        <v>43556</v>
      </c>
      <c r="H38" s="124">
        <v>43556</v>
      </c>
      <c r="I38" s="125">
        <v>10000000</v>
      </c>
      <c r="J38" s="126">
        <v>7.7499999999999999E-2</v>
      </c>
      <c r="K38" s="105">
        <v>7.4999999999999997E-2</v>
      </c>
      <c r="L38" s="127">
        <v>0.9</v>
      </c>
      <c r="M38" s="128">
        <v>8</v>
      </c>
      <c r="N38" s="128"/>
      <c r="O38" s="127">
        <v>12</v>
      </c>
      <c r="P38" s="128">
        <f t="shared" si="5"/>
        <v>465000</v>
      </c>
      <c r="Q38" s="128">
        <f t="shared" si="6"/>
        <v>6066560.6589831896</v>
      </c>
      <c r="R38" s="128">
        <f t="shared" si="7"/>
        <v>282095.07064271829</v>
      </c>
      <c r="S38" s="128">
        <f t="shared" si="8"/>
        <v>182904.92935728171</v>
      </c>
      <c r="T38" s="129">
        <v>0.606656065898319</v>
      </c>
      <c r="U38" s="128">
        <v>35000000</v>
      </c>
      <c r="V38" s="128">
        <v>2034375</v>
      </c>
      <c r="W38" s="128">
        <f t="shared" si="3"/>
        <v>-28933439.34101681</v>
      </c>
      <c r="X38" s="128">
        <f t="shared" si="3"/>
        <v>-1752279.9293572817</v>
      </c>
      <c r="Y38" s="130">
        <f t="shared" si="9"/>
        <v>-28933439.34101681</v>
      </c>
      <c r="Z38" s="130">
        <f t="shared" si="9"/>
        <v>-1752279.9293572817</v>
      </c>
      <c r="AA38" s="130"/>
      <c r="AB38" s="130"/>
      <c r="AC38" s="130">
        <f t="shared" si="21"/>
        <v>-1752279.9293572817</v>
      </c>
      <c r="AD38" s="131">
        <v>-30146751.472813446</v>
      </c>
      <c r="AE38" s="131">
        <f t="shared" si="19"/>
        <v>-33496390.525348276</v>
      </c>
      <c r="AF38" s="131"/>
      <c r="AG38" s="198"/>
      <c r="AH38" s="132"/>
      <c r="AI38" s="132"/>
      <c r="AJ38" s="132"/>
      <c r="AK38" s="132"/>
      <c r="AL38" s="111">
        <f t="shared" si="10"/>
        <v>-1752279.9293572817</v>
      </c>
      <c r="AM38" s="111"/>
      <c r="AN38" s="111"/>
      <c r="AO38" s="111"/>
      <c r="AP38" s="111">
        <f t="shared" si="11"/>
        <v>-1752279.9293572817</v>
      </c>
      <c r="AQ38" s="111"/>
      <c r="AR38" s="111">
        <f t="shared" si="12"/>
        <v>-1752279.9293572817</v>
      </c>
      <c r="AS38" s="111"/>
      <c r="AT38" s="111">
        <v>0</v>
      </c>
      <c r="AU38" s="85"/>
      <c r="AV38" s="85"/>
      <c r="AW38" s="86"/>
      <c r="AX38" s="86"/>
      <c r="AY38" s="85"/>
      <c r="AZ38" s="85"/>
      <c r="BA38" s="85">
        <f t="shared" si="13"/>
        <v>0</v>
      </c>
      <c r="BB38" s="85"/>
      <c r="BC38" s="85"/>
      <c r="BD38" s="85"/>
      <c r="BE38" s="85"/>
      <c r="BF38" s="85"/>
      <c r="BG38" s="85"/>
      <c r="BH38" s="111">
        <f t="shared" si="20"/>
        <v>0</v>
      </c>
      <c r="BI38" s="111"/>
      <c r="BJ38" s="133">
        <f t="shared" si="4"/>
        <v>-37683439.341016814</v>
      </c>
      <c r="BK38" s="134"/>
      <c r="BL38" s="134"/>
      <c r="BM38" s="135"/>
      <c r="BN38" s="135"/>
      <c r="BO38" s="135"/>
      <c r="BP38" s="135"/>
      <c r="BQ38" s="114">
        <f t="shared" si="14"/>
        <v>-37683439.341016814</v>
      </c>
      <c r="BR38" s="114">
        <f t="shared" si="15"/>
        <v>-43066787.818304926</v>
      </c>
      <c r="BS38" s="136"/>
      <c r="BT38" s="136"/>
      <c r="BU38" s="136"/>
      <c r="BV38" s="115">
        <f t="shared" si="16"/>
        <v>-50244585.788022414</v>
      </c>
      <c r="BW38" s="115"/>
      <c r="BX38" s="142">
        <f t="shared" si="17"/>
        <v>-77879107.971434742</v>
      </c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16">
        <v>0</v>
      </c>
      <c r="CL38" s="116"/>
      <c r="CM38" s="199"/>
    </row>
    <row r="39" spans="1:93" s="120" customFormat="1" ht="25.5" x14ac:dyDescent="0.2">
      <c r="B39" s="99">
        <f t="shared" si="18"/>
        <v>31</v>
      </c>
      <c r="C39" s="122" t="s">
        <v>163</v>
      </c>
      <c r="D39" s="123" t="s">
        <v>164</v>
      </c>
      <c r="E39" s="122" t="s">
        <v>161</v>
      </c>
      <c r="F39" s="100" t="s">
        <v>134</v>
      </c>
      <c r="G39" s="124"/>
      <c r="H39" s="124" t="s">
        <v>97</v>
      </c>
      <c r="I39" s="125">
        <v>0</v>
      </c>
      <c r="J39" s="126"/>
      <c r="K39" s="105">
        <v>7.4999999999999997E-2</v>
      </c>
      <c r="L39" s="127">
        <v>0.9</v>
      </c>
      <c r="M39" s="128">
        <v>8</v>
      </c>
      <c r="N39" s="128">
        <v>4</v>
      </c>
      <c r="O39" s="127">
        <v>12</v>
      </c>
      <c r="P39" s="128"/>
      <c r="Q39" s="128">
        <f t="shared" si="6"/>
        <v>0</v>
      </c>
      <c r="R39" s="128"/>
      <c r="S39" s="128"/>
      <c r="T39" s="129"/>
      <c r="U39" s="128"/>
      <c r="V39" s="128"/>
      <c r="W39" s="128"/>
      <c r="X39" s="128"/>
      <c r="Y39" s="130"/>
      <c r="Z39" s="130"/>
      <c r="AA39" s="130"/>
      <c r="AB39" s="130"/>
      <c r="AC39" s="130"/>
      <c r="AD39" s="131"/>
      <c r="AE39" s="131"/>
      <c r="AF39" s="131"/>
      <c r="AG39" s="132"/>
      <c r="AH39" s="132"/>
      <c r="AI39" s="132"/>
      <c r="AJ39" s="132"/>
      <c r="AK39" s="132"/>
      <c r="AL39" s="111"/>
      <c r="AM39" s="111"/>
      <c r="AN39" s="111"/>
      <c r="AO39" s="111"/>
      <c r="AP39" s="111"/>
      <c r="AQ39" s="111"/>
      <c r="AR39" s="111">
        <f t="shared" si="12"/>
        <v>0</v>
      </c>
      <c r="AS39" s="111"/>
      <c r="AT39" s="111">
        <v>0</v>
      </c>
      <c r="AU39" s="111">
        <f>AR39-AT39</f>
        <v>0</v>
      </c>
      <c r="AV39" s="111"/>
      <c r="AW39" s="111"/>
      <c r="AX39" s="111"/>
      <c r="AY39" s="111"/>
      <c r="AZ39" s="111"/>
      <c r="BA39" s="111">
        <f>CL39*7.25%*0.9*3.5/12</f>
        <v>133218.74999999997</v>
      </c>
      <c r="BB39" s="111"/>
      <c r="BC39" s="111"/>
      <c r="BD39" s="111">
        <v>114187.5</v>
      </c>
      <c r="BE39" s="111"/>
      <c r="BF39" s="111"/>
      <c r="BG39" s="111"/>
      <c r="BH39" s="111">
        <f t="shared" si="20"/>
        <v>19031.249999999971</v>
      </c>
      <c r="BI39" s="111"/>
      <c r="BJ39" s="133"/>
      <c r="BK39" s="134"/>
      <c r="BL39" s="134"/>
      <c r="BM39" s="135"/>
      <c r="BN39" s="135"/>
      <c r="BO39" s="135"/>
      <c r="BP39" s="135"/>
      <c r="BQ39" s="114"/>
      <c r="BR39" s="114"/>
      <c r="BS39" s="136"/>
      <c r="BT39" s="136"/>
      <c r="BU39" s="136"/>
      <c r="BV39" s="115"/>
      <c r="BW39" s="115"/>
      <c r="BX39" s="116">
        <f t="shared" si="17"/>
        <v>0</v>
      </c>
      <c r="BY39" s="116"/>
      <c r="BZ39" s="116"/>
      <c r="CA39" s="116"/>
      <c r="CB39" s="116"/>
      <c r="CC39" s="116"/>
      <c r="CD39" s="116"/>
      <c r="CE39" s="116"/>
      <c r="CF39" s="116"/>
      <c r="CG39" s="116">
        <v>7000000</v>
      </c>
      <c r="CH39" s="116"/>
      <c r="CI39" s="116"/>
      <c r="CJ39" s="116"/>
      <c r="CK39" s="116">
        <v>0</v>
      </c>
      <c r="CL39" s="116">
        <v>7000000</v>
      </c>
      <c r="CM39" s="119" t="s">
        <v>105</v>
      </c>
      <c r="CN39" s="118" t="s">
        <v>95</v>
      </c>
      <c r="CO39" s="201" t="s">
        <v>165</v>
      </c>
    </row>
    <row r="40" spans="1:93" s="174" customFormat="1" ht="25.5" x14ac:dyDescent="0.2">
      <c r="B40" s="145">
        <f t="shared" si="18"/>
        <v>32</v>
      </c>
      <c r="C40" s="204" t="s">
        <v>163</v>
      </c>
      <c r="D40" s="224" t="s">
        <v>164</v>
      </c>
      <c r="E40" s="204" t="s">
        <v>95</v>
      </c>
      <c r="F40" s="148" t="s">
        <v>134</v>
      </c>
      <c r="G40" s="205"/>
      <c r="H40" s="205" t="s">
        <v>97</v>
      </c>
      <c r="I40" s="206">
        <v>0</v>
      </c>
      <c r="J40" s="207"/>
      <c r="K40" s="151">
        <v>7.2499999999999995E-2</v>
      </c>
      <c r="L40" s="220">
        <v>0.9</v>
      </c>
      <c r="M40" s="208">
        <v>8</v>
      </c>
      <c r="N40" s="208">
        <v>2.5</v>
      </c>
      <c r="O40" s="220">
        <v>12</v>
      </c>
      <c r="P40" s="208"/>
      <c r="Q40" s="208"/>
      <c r="R40" s="208"/>
      <c r="S40" s="208"/>
      <c r="T40" s="209"/>
      <c r="U40" s="208"/>
      <c r="V40" s="208"/>
      <c r="W40" s="208"/>
      <c r="X40" s="208"/>
      <c r="Y40" s="210"/>
      <c r="Z40" s="210"/>
      <c r="AA40" s="210"/>
      <c r="AB40" s="210"/>
      <c r="AC40" s="210"/>
      <c r="AD40" s="211"/>
      <c r="AE40" s="211"/>
      <c r="AF40" s="211"/>
      <c r="AG40" s="198"/>
      <c r="AH40" s="198"/>
      <c r="AI40" s="198"/>
      <c r="AJ40" s="198"/>
      <c r="AK40" s="198"/>
      <c r="AL40" s="83"/>
      <c r="AM40" s="83"/>
      <c r="AN40" s="83"/>
      <c r="AO40" s="83"/>
      <c r="AP40" s="83"/>
      <c r="AQ40" s="83"/>
      <c r="AR40" s="83">
        <f t="shared" si="12"/>
        <v>0</v>
      </c>
      <c r="AS40" s="83"/>
      <c r="AT40" s="83">
        <v>0</v>
      </c>
      <c r="AU40" s="83">
        <f>AR40-AT40</f>
        <v>0</v>
      </c>
      <c r="AV40" s="83"/>
      <c r="AW40" s="83"/>
      <c r="AX40" s="83"/>
      <c r="AY40" s="83"/>
      <c r="AZ40" s="83"/>
      <c r="BA40" s="83">
        <f>CL40*7.25%*0.9*3.5/12</f>
        <v>380625</v>
      </c>
      <c r="BB40" s="83"/>
      <c r="BC40" s="83"/>
      <c r="BD40" s="83">
        <v>163125</v>
      </c>
      <c r="BE40" s="83"/>
      <c r="BF40" s="83"/>
      <c r="BG40" s="83"/>
      <c r="BH40" s="83">
        <f t="shared" si="20"/>
        <v>217500</v>
      </c>
      <c r="BI40" s="83">
        <f>CK40*K40*L40*N40/O40</f>
        <v>135937.5</v>
      </c>
      <c r="BJ40" s="212"/>
      <c r="BK40" s="213"/>
      <c r="BL40" s="213"/>
      <c r="BM40" s="214"/>
      <c r="BN40" s="214"/>
      <c r="BO40" s="214"/>
      <c r="BP40" s="214"/>
      <c r="BQ40" s="160"/>
      <c r="BR40" s="160"/>
      <c r="BS40" s="215"/>
      <c r="BT40" s="215"/>
      <c r="BU40" s="215"/>
      <c r="BV40" s="162"/>
      <c r="BW40" s="162"/>
      <c r="BX40" s="95">
        <f t="shared" si="17"/>
        <v>0</v>
      </c>
      <c r="BY40" s="95"/>
      <c r="BZ40" s="95"/>
      <c r="CA40" s="95"/>
      <c r="CB40" s="95"/>
      <c r="CC40" s="95"/>
      <c r="CD40" s="95"/>
      <c r="CE40" s="95"/>
      <c r="CF40" s="95"/>
      <c r="CG40" s="95">
        <v>10000000</v>
      </c>
      <c r="CH40" s="95"/>
      <c r="CI40" s="95"/>
      <c r="CJ40" s="95"/>
      <c r="CK40" s="95">
        <v>10000000</v>
      </c>
      <c r="CL40" s="95">
        <v>20000000</v>
      </c>
      <c r="CM40" s="216" t="s">
        <v>105</v>
      </c>
      <c r="CN40" s="2" t="s">
        <v>95</v>
      </c>
    </row>
    <row r="41" spans="1:93" s="118" customFormat="1" ht="25.5" x14ac:dyDescent="0.2">
      <c r="A41" s="118">
        <f>A38+1</f>
        <v>20</v>
      </c>
      <c r="B41" s="99">
        <f t="shared" si="18"/>
        <v>33</v>
      </c>
      <c r="C41" s="100" t="s">
        <v>166</v>
      </c>
      <c r="D41" s="101" t="s">
        <v>167</v>
      </c>
      <c r="E41" s="100" t="s">
        <v>95</v>
      </c>
      <c r="F41" s="100" t="s">
        <v>134</v>
      </c>
      <c r="G41" s="103">
        <v>43739</v>
      </c>
      <c r="H41" s="103">
        <v>43739</v>
      </c>
      <c r="I41" s="104">
        <v>10000000</v>
      </c>
      <c r="J41" s="105">
        <v>7.7499999999999999E-2</v>
      </c>
      <c r="K41" s="105">
        <v>7.4999999999999997E-2</v>
      </c>
      <c r="L41" s="106">
        <v>0.9</v>
      </c>
      <c r="M41" s="107">
        <v>2</v>
      </c>
      <c r="N41" s="107">
        <v>3</v>
      </c>
      <c r="O41" s="106">
        <v>12</v>
      </c>
      <c r="P41" s="107">
        <f t="shared" si="5"/>
        <v>116250</v>
      </c>
      <c r="Q41" s="107">
        <f t="shared" si="6"/>
        <v>6066560.6589831896</v>
      </c>
      <c r="R41" s="107">
        <f t="shared" si="7"/>
        <v>70523.767660679572</v>
      </c>
      <c r="S41" s="107">
        <f t="shared" si="8"/>
        <v>45726.232339320428</v>
      </c>
      <c r="T41" s="108">
        <v>0.606656065898319</v>
      </c>
      <c r="U41" s="107"/>
      <c r="V41" s="106"/>
      <c r="W41" s="107">
        <f t="shared" si="3"/>
        <v>6066560.6589831896</v>
      </c>
      <c r="X41" s="107">
        <f t="shared" si="3"/>
        <v>70523.767660679572</v>
      </c>
      <c r="Y41" s="109">
        <f t="shared" si="9"/>
        <v>6066560.6589831896</v>
      </c>
      <c r="Z41" s="109">
        <f t="shared" si="9"/>
        <v>70523.767660679572</v>
      </c>
      <c r="AA41" s="109"/>
      <c r="AB41" s="109"/>
      <c r="AC41" s="109">
        <f t="shared" si="21"/>
        <v>70523.767660679572</v>
      </c>
      <c r="AD41" s="110">
        <v>1213312.1317966378</v>
      </c>
      <c r="AE41" s="110">
        <f t="shared" si="19"/>
        <v>1348124.5908851533</v>
      </c>
      <c r="AF41" s="110"/>
      <c r="AG41" s="111"/>
      <c r="AH41" s="111"/>
      <c r="AI41" s="111"/>
      <c r="AJ41" s="111"/>
      <c r="AK41" s="111"/>
      <c r="AL41" s="111">
        <f t="shared" si="10"/>
        <v>70523.767660679572</v>
      </c>
      <c r="AM41" s="111"/>
      <c r="AN41" s="111"/>
      <c r="AO41" s="111"/>
      <c r="AP41" s="111">
        <f t="shared" si="11"/>
        <v>70523.767660679572</v>
      </c>
      <c r="AQ41" s="111"/>
      <c r="AR41" s="111">
        <f t="shared" si="12"/>
        <v>70523.767660679572</v>
      </c>
      <c r="AS41" s="111"/>
      <c r="AT41" s="111">
        <v>0</v>
      </c>
      <c r="AU41" s="111">
        <f>AR41-AT41</f>
        <v>70523.767660679572</v>
      </c>
      <c r="AV41" s="111"/>
      <c r="AW41" s="111"/>
      <c r="AX41" s="111"/>
      <c r="AY41" s="111"/>
      <c r="AZ41" s="111"/>
      <c r="BA41" s="111">
        <f t="shared" si="13"/>
        <v>0</v>
      </c>
      <c r="BB41" s="111"/>
      <c r="BC41" s="111"/>
      <c r="BD41" s="111"/>
      <c r="BE41" s="111"/>
      <c r="BF41" s="111"/>
      <c r="BG41" s="111"/>
      <c r="BH41" s="111">
        <f t="shared" si="20"/>
        <v>0</v>
      </c>
      <c r="BI41" s="111"/>
      <c r="BJ41" s="112">
        <f t="shared" si="4"/>
        <v>1516640.1647457974</v>
      </c>
      <c r="BK41" s="112"/>
      <c r="BL41" s="112"/>
      <c r="BM41" s="113"/>
      <c r="BN41" s="113"/>
      <c r="BO41" s="113"/>
      <c r="BP41" s="113"/>
      <c r="BQ41" s="114">
        <f t="shared" si="14"/>
        <v>1516640.1647457974</v>
      </c>
      <c r="BR41" s="114">
        <f t="shared" si="15"/>
        <v>1733303.0454237685</v>
      </c>
      <c r="BS41" s="98"/>
      <c r="BT41" s="98"/>
      <c r="BU41" s="98"/>
      <c r="BV41" s="115">
        <f t="shared" si="16"/>
        <v>2022186.88632773</v>
      </c>
      <c r="BW41" s="115"/>
      <c r="BX41" s="116">
        <f t="shared" si="17"/>
        <v>3134389.673807981</v>
      </c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>
        <v>0</v>
      </c>
      <c r="CL41" s="116"/>
      <c r="CM41" s="217" t="s">
        <v>168</v>
      </c>
      <c r="CN41" s="118" t="s">
        <v>95</v>
      </c>
    </row>
    <row r="42" spans="1:93" s="2" customFormat="1" ht="25.5" x14ac:dyDescent="0.2">
      <c r="A42" s="161">
        <f>A41+1</f>
        <v>21</v>
      </c>
      <c r="B42" s="99">
        <f t="shared" si="18"/>
        <v>34</v>
      </c>
      <c r="C42" s="100" t="s">
        <v>169</v>
      </c>
      <c r="D42" s="101" t="s">
        <v>170</v>
      </c>
      <c r="E42" s="100" t="s">
        <v>95</v>
      </c>
      <c r="F42" s="100" t="s">
        <v>96</v>
      </c>
      <c r="G42" s="103">
        <v>43497</v>
      </c>
      <c r="H42" s="218" t="s">
        <v>171</v>
      </c>
      <c r="I42" s="104">
        <v>1500000</v>
      </c>
      <c r="J42" s="105">
        <v>7.7499999999999999E-2</v>
      </c>
      <c r="K42" s="105">
        <v>7.4999999999999997E-2</v>
      </c>
      <c r="L42" s="106">
        <v>0.9</v>
      </c>
      <c r="M42" s="107">
        <v>10</v>
      </c>
      <c r="N42" s="107"/>
      <c r="O42" s="106">
        <v>12</v>
      </c>
      <c r="P42" s="107">
        <f t="shared" si="5"/>
        <v>87187.5</v>
      </c>
      <c r="Q42" s="107">
        <f t="shared" si="6"/>
        <v>909984.09884747851</v>
      </c>
      <c r="R42" s="107">
        <f t="shared" si="7"/>
        <v>52892.825745509683</v>
      </c>
      <c r="S42" s="107">
        <f t="shared" si="8"/>
        <v>34294.674254490317</v>
      </c>
      <c r="T42" s="108">
        <v>0.606656065898319</v>
      </c>
      <c r="U42" s="107"/>
      <c r="V42" s="106"/>
      <c r="W42" s="107">
        <f t="shared" si="3"/>
        <v>909984.09884747851</v>
      </c>
      <c r="X42" s="107">
        <f t="shared" si="3"/>
        <v>52892.825745509683</v>
      </c>
      <c r="Y42" s="109">
        <f t="shared" si="9"/>
        <v>909984.09884747851</v>
      </c>
      <c r="Z42" s="109">
        <f t="shared" si="9"/>
        <v>52892.825745509683</v>
      </c>
      <c r="AA42" s="109"/>
      <c r="AB42" s="109"/>
      <c r="AC42" s="109">
        <f t="shared" si="21"/>
        <v>52892.825745509683</v>
      </c>
      <c r="AD42" s="110">
        <v>909984.09884747851</v>
      </c>
      <c r="AE42" s="110">
        <f t="shared" si="19"/>
        <v>1011093.443163865</v>
      </c>
      <c r="AF42" s="110"/>
      <c r="AG42" s="83">
        <v>-52892.83</v>
      </c>
      <c r="AH42" s="111"/>
      <c r="AI42" s="111"/>
      <c r="AJ42" s="111"/>
      <c r="AK42" s="111"/>
      <c r="AL42" s="111">
        <f t="shared" si="10"/>
        <v>-4.2544903189991601E-3</v>
      </c>
      <c r="AM42" s="111"/>
      <c r="AN42" s="111"/>
      <c r="AO42" s="111"/>
      <c r="AP42" s="111">
        <f t="shared" si="11"/>
        <v>-4.2544903189991601E-3</v>
      </c>
      <c r="AQ42" s="111"/>
      <c r="AR42" s="111">
        <f t="shared" si="12"/>
        <v>-4.2544903189991601E-3</v>
      </c>
      <c r="AS42" s="111"/>
      <c r="AT42" s="111">
        <v>0</v>
      </c>
      <c r="AU42" s="85"/>
      <c r="AV42" s="85"/>
      <c r="AW42" s="86"/>
      <c r="AX42" s="86"/>
      <c r="AY42" s="85"/>
      <c r="AZ42" s="85"/>
      <c r="BA42" s="85">
        <f t="shared" si="13"/>
        <v>0</v>
      </c>
      <c r="BB42" s="85"/>
      <c r="BC42" s="85"/>
      <c r="BD42" s="85"/>
      <c r="BE42" s="85"/>
      <c r="BF42" s="85"/>
      <c r="BG42" s="85"/>
      <c r="BH42" s="111">
        <f t="shared" si="20"/>
        <v>0</v>
      </c>
      <c r="BI42" s="111"/>
      <c r="BJ42" s="112">
        <f t="shared" si="4"/>
        <v>1137480.1235593481</v>
      </c>
      <c r="BK42" s="112"/>
      <c r="BL42" s="133">
        <v>-1137480.1200000001</v>
      </c>
      <c r="BM42" s="113"/>
      <c r="BN42" s="113"/>
      <c r="BO42" s="113"/>
      <c r="BP42" s="113"/>
      <c r="BQ42" s="114">
        <f t="shared" si="14"/>
        <v>3.5593479406088591E-3</v>
      </c>
      <c r="BR42" s="114">
        <f t="shared" si="15"/>
        <v>-0.10456504624268288</v>
      </c>
      <c r="BS42" s="98"/>
      <c r="BT42" s="98"/>
      <c r="BU42" s="98"/>
      <c r="BV42" s="115">
        <f t="shared" si="16"/>
        <v>-0.12199255394979669</v>
      </c>
      <c r="BW42" s="115"/>
      <c r="BX42" s="142">
        <f t="shared" si="17"/>
        <v>-0.18908845862218487</v>
      </c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16">
        <v>0</v>
      </c>
      <c r="CL42" s="116"/>
      <c r="CM42" s="163"/>
    </row>
    <row r="43" spans="1:93" s="2" customFormat="1" ht="51" x14ac:dyDescent="0.2">
      <c r="A43" s="161">
        <f>A42+1</f>
        <v>22</v>
      </c>
      <c r="B43" s="145">
        <f t="shared" si="18"/>
        <v>35</v>
      </c>
      <c r="C43" s="148" t="s">
        <v>172</v>
      </c>
      <c r="D43" s="164" t="s">
        <v>173</v>
      </c>
      <c r="E43" s="148" t="s">
        <v>95</v>
      </c>
      <c r="F43" s="148" t="s">
        <v>96</v>
      </c>
      <c r="G43" s="149">
        <v>43586</v>
      </c>
      <c r="H43" s="322" t="s">
        <v>174</v>
      </c>
      <c r="I43" s="150">
        <v>1000000</v>
      </c>
      <c r="J43" s="151">
        <v>7.7499999999999999E-2</v>
      </c>
      <c r="K43" s="151">
        <v>7.4999999999999997E-2</v>
      </c>
      <c r="L43" s="152">
        <v>0.9</v>
      </c>
      <c r="M43" s="153">
        <v>7</v>
      </c>
      <c r="N43" s="153">
        <v>0</v>
      </c>
      <c r="O43" s="152">
        <v>12</v>
      </c>
      <c r="P43" s="153">
        <f t="shared" si="5"/>
        <v>40687.5</v>
      </c>
      <c r="Q43" s="153">
        <f t="shared" si="6"/>
        <v>606656.06589831901</v>
      </c>
      <c r="R43" s="153">
        <f t="shared" si="7"/>
        <v>24683.318681237855</v>
      </c>
      <c r="S43" s="153">
        <f t="shared" si="8"/>
        <v>16004.181318762145</v>
      </c>
      <c r="T43" s="154">
        <v>0.606656065898319</v>
      </c>
      <c r="U43" s="153"/>
      <c r="V43" s="152"/>
      <c r="W43" s="153">
        <f t="shared" si="3"/>
        <v>606656.06589831901</v>
      </c>
      <c r="X43" s="153">
        <f t="shared" si="3"/>
        <v>24683.318681237855</v>
      </c>
      <c r="Y43" s="155">
        <f t="shared" si="9"/>
        <v>606656.06589831901</v>
      </c>
      <c r="Z43" s="155">
        <f t="shared" si="9"/>
        <v>24683.318681237855</v>
      </c>
      <c r="AA43" s="155"/>
      <c r="AB43" s="155"/>
      <c r="AC43" s="155">
        <f t="shared" si="21"/>
        <v>24683.318681237855</v>
      </c>
      <c r="AD43" s="156">
        <v>424659.24612882326</v>
      </c>
      <c r="AE43" s="156">
        <f t="shared" si="19"/>
        <v>471843.60680980363</v>
      </c>
      <c r="AF43" s="156"/>
      <c r="AG43" s="83"/>
      <c r="AH43" s="83"/>
      <c r="AI43" s="83"/>
      <c r="AJ43" s="83"/>
      <c r="AK43" s="83"/>
      <c r="AL43" s="83">
        <f t="shared" si="10"/>
        <v>24683.318681237855</v>
      </c>
      <c r="AM43" s="83"/>
      <c r="AN43" s="83"/>
      <c r="AO43" s="83"/>
      <c r="AP43" s="83">
        <f t="shared" si="11"/>
        <v>24683.318681237855</v>
      </c>
      <c r="AQ43" s="83"/>
      <c r="AR43" s="83">
        <f t="shared" si="12"/>
        <v>24683.318681237855</v>
      </c>
      <c r="AS43" s="83"/>
      <c r="AT43" s="83">
        <v>0</v>
      </c>
      <c r="AU43" s="83">
        <f>AR43-AT43</f>
        <v>24683.318681237855</v>
      </c>
      <c r="AV43" s="83"/>
      <c r="AW43" s="83"/>
      <c r="AX43" s="83"/>
      <c r="AY43" s="83"/>
      <c r="AZ43" s="83"/>
      <c r="BA43" s="83">
        <f t="shared" si="13"/>
        <v>0</v>
      </c>
      <c r="BB43" s="83"/>
      <c r="BC43" s="83"/>
      <c r="BD43" s="83"/>
      <c r="BE43" s="83"/>
      <c r="BF43" s="83"/>
      <c r="BG43" s="83"/>
      <c r="BH43" s="83">
        <f t="shared" si="20"/>
        <v>0</v>
      </c>
      <c r="BI43" s="83">
        <v>0</v>
      </c>
      <c r="BJ43" s="159">
        <f t="shared" si="4"/>
        <v>530824.05766102916</v>
      </c>
      <c r="BK43" s="159"/>
      <c r="BL43" s="159"/>
      <c r="BM43" s="89"/>
      <c r="BN43" s="89"/>
      <c r="BO43" s="89"/>
      <c r="BP43" s="89"/>
      <c r="BQ43" s="160">
        <f t="shared" si="14"/>
        <v>530824.05766102916</v>
      </c>
      <c r="BR43" s="160">
        <f t="shared" si="15"/>
        <v>606656.06589831901</v>
      </c>
      <c r="BS43" s="161"/>
      <c r="BT43" s="161"/>
      <c r="BU43" s="161"/>
      <c r="BV43" s="162">
        <f t="shared" si="16"/>
        <v>707765.41021470551</v>
      </c>
      <c r="BW43" s="162"/>
      <c r="BX43" s="95">
        <f t="shared" si="17"/>
        <v>1097036.3858327938</v>
      </c>
      <c r="BY43" s="95">
        <v>0</v>
      </c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>
        <v>0</v>
      </c>
      <c r="CL43" s="95">
        <v>0</v>
      </c>
      <c r="CM43" s="170" t="s">
        <v>175</v>
      </c>
      <c r="CN43" s="2" t="s">
        <v>95</v>
      </c>
    </row>
    <row r="44" spans="1:93" s="196" customFormat="1" ht="25.5" x14ac:dyDescent="0.2">
      <c r="A44" s="161">
        <f>A43+1</f>
        <v>23</v>
      </c>
      <c r="B44" s="99">
        <f t="shared" si="18"/>
        <v>36</v>
      </c>
      <c r="C44" s="122" t="s">
        <v>176</v>
      </c>
      <c r="D44" s="123" t="s">
        <v>177</v>
      </c>
      <c r="E44" s="122" t="s">
        <v>161</v>
      </c>
      <c r="F44" s="100" t="s">
        <v>96</v>
      </c>
      <c r="G44" s="124">
        <v>43497</v>
      </c>
      <c r="H44" s="124">
        <v>43497</v>
      </c>
      <c r="I44" s="125">
        <v>5000000</v>
      </c>
      <c r="J44" s="126">
        <v>7.7499999999999999E-2</v>
      </c>
      <c r="K44" s="76">
        <v>7.4999999999999997E-2</v>
      </c>
      <c r="L44" s="127">
        <v>0.9</v>
      </c>
      <c r="M44" s="128">
        <v>10</v>
      </c>
      <c r="N44" s="128"/>
      <c r="O44" s="127">
        <v>12</v>
      </c>
      <c r="P44" s="128">
        <f t="shared" si="5"/>
        <v>290625</v>
      </c>
      <c r="Q44" s="128">
        <f t="shared" si="6"/>
        <v>3033280.3294915948</v>
      </c>
      <c r="R44" s="128">
        <f t="shared" si="7"/>
        <v>176309.41915169894</v>
      </c>
      <c r="S44" s="128">
        <f t="shared" si="8"/>
        <v>114315.58084830106</v>
      </c>
      <c r="T44" s="129">
        <v>0.606656065898319</v>
      </c>
      <c r="U44" s="172">
        <v>32000000</v>
      </c>
      <c r="V44" s="141">
        <f>1860000-V45-V46-V47-V48</f>
        <v>802143.49</v>
      </c>
      <c r="W44" s="128">
        <f t="shared" si="3"/>
        <v>-28966719.670508407</v>
      </c>
      <c r="X44" s="128">
        <f t="shared" si="3"/>
        <v>-625834.07084830105</v>
      </c>
      <c r="Y44" s="130">
        <f t="shared" si="9"/>
        <v>-28966719.670508407</v>
      </c>
      <c r="Z44" s="130">
        <f t="shared" si="9"/>
        <v>-625834.07084830105</v>
      </c>
      <c r="AA44" s="130"/>
      <c r="AB44" s="130"/>
      <c r="AC44" s="130">
        <f t="shared" si="21"/>
        <v>-625834.07084830105</v>
      </c>
      <c r="AD44" s="131">
        <v>-10767037.693558834</v>
      </c>
      <c r="AE44" s="131">
        <f t="shared" si="19"/>
        <v>-11963375.308928097</v>
      </c>
      <c r="AF44" s="131"/>
      <c r="AG44" s="198"/>
      <c r="AH44" s="132"/>
      <c r="AI44" s="198"/>
      <c r="AJ44" s="198"/>
      <c r="AK44" s="219"/>
      <c r="AL44" s="82">
        <f t="shared" si="10"/>
        <v>-625834.07084830105</v>
      </c>
      <c r="AM44" s="82"/>
      <c r="AN44" s="82"/>
      <c r="AO44" s="82"/>
      <c r="AP44" s="111">
        <f t="shared" si="11"/>
        <v>-625834.07084830105</v>
      </c>
      <c r="AQ44" s="111"/>
      <c r="AR44" s="111">
        <f t="shared" si="12"/>
        <v>-625834.07084830105</v>
      </c>
      <c r="AS44" s="111"/>
      <c r="AT44" s="111">
        <v>0</v>
      </c>
      <c r="AU44" s="85"/>
      <c r="AV44" s="85"/>
      <c r="AW44" s="86"/>
      <c r="AX44" s="86"/>
      <c r="AY44" s="85"/>
      <c r="AZ44" s="85"/>
      <c r="BA44" s="85">
        <f t="shared" si="13"/>
        <v>0</v>
      </c>
      <c r="BB44" s="85"/>
      <c r="BC44" s="85"/>
      <c r="BD44" s="85"/>
      <c r="BE44" s="85"/>
      <c r="BF44" s="85"/>
      <c r="BG44" s="85"/>
      <c r="BH44" s="111">
        <f t="shared" si="20"/>
        <v>0</v>
      </c>
      <c r="BI44" s="111"/>
      <c r="BJ44" s="133">
        <f t="shared" si="4"/>
        <v>-13458797.222544109</v>
      </c>
      <c r="BK44" s="134"/>
      <c r="BL44" s="134"/>
      <c r="BM44" s="135"/>
      <c r="BN44" s="135"/>
      <c r="BO44" s="135"/>
      <c r="BP44" s="135"/>
      <c r="BQ44" s="114">
        <f t="shared" si="14"/>
        <v>-13458797.222544109</v>
      </c>
      <c r="BR44" s="114">
        <f t="shared" si="15"/>
        <v>-15381482.540050412</v>
      </c>
      <c r="BS44" s="136"/>
      <c r="BT44" s="136"/>
      <c r="BU44" s="136"/>
      <c r="BV44" s="115">
        <f t="shared" si="16"/>
        <v>-17945062.963392146</v>
      </c>
      <c r="BW44" s="115"/>
      <c r="BX44" s="142">
        <f t="shared" si="17"/>
        <v>-27814847.593257822</v>
      </c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16">
        <v>0</v>
      </c>
      <c r="CL44" s="93"/>
      <c r="CM44" s="199"/>
    </row>
    <row r="45" spans="1:93" s="196" customFormat="1" ht="25.5" x14ac:dyDescent="0.2">
      <c r="B45" s="99">
        <f t="shared" si="18"/>
        <v>37</v>
      </c>
      <c r="C45" s="122" t="s">
        <v>176</v>
      </c>
      <c r="D45" s="123" t="s">
        <v>177</v>
      </c>
      <c r="E45" s="122" t="s">
        <v>95</v>
      </c>
      <c r="F45" s="100" t="s">
        <v>96</v>
      </c>
      <c r="G45" s="124">
        <v>43497</v>
      </c>
      <c r="H45" s="124">
        <v>43497</v>
      </c>
      <c r="I45" s="125">
        <v>15000000</v>
      </c>
      <c r="J45" s="126">
        <v>7.7499999999999999E-2</v>
      </c>
      <c r="K45" s="76">
        <v>7.4999999999999997E-2</v>
      </c>
      <c r="L45" s="127">
        <v>0.9</v>
      </c>
      <c r="M45" s="128">
        <v>10</v>
      </c>
      <c r="N45" s="128"/>
      <c r="O45" s="127">
        <v>12</v>
      </c>
      <c r="P45" s="128">
        <f t="shared" si="5"/>
        <v>871875</v>
      </c>
      <c r="Q45" s="128">
        <f t="shared" si="6"/>
        <v>9099840.9884747844</v>
      </c>
      <c r="R45" s="128">
        <f t="shared" si="7"/>
        <v>528928.25745509693</v>
      </c>
      <c r="S45" s="128">
        <f t="shared" si="8"/>
        <v>342946.74254490307</v>
      </c>
      <c r="T45" s="129">
        <v>0.606656065898319</v>
      </c>
      <c r="U45" s="128"/>
      <c r="V45" s="127">
        <v>528928.26</v>
      </c>
      <c r="W45" s="128">
        <f t="shared" si="3"/>
        <v>9099840.9884747844</v>
      </c>
      <c r="X45" s="128">
        <f t="shared" si="3"/>
        <v>-2.5449030799791217E-3</v>
      </c>
      <c r="Y45" s="130">
        <f t="shared" si="9"/>
        <v>9099840.9884747844</v>
      </c>
      <c r="Z45" s="130">
        <f t="shared" si="9"/>
        <v>-2.5449030799791217E-3</v>
      </c>
      <c r="AA45" s="138"/>
      <c r="AB45" s="138"/>
      <c r="AC45" s="130">
        <f t="shared" si="21"/>
        <v>-2.5449030799791217E-3</v>
      </c>
      <c r="AD45" s="131">
        <v>0</v>
      </c>
      <c r="AE45" s="131">
        <f t="shared" si="19"/>
        <v>-4.8648087550377472E-2</v>
      </c>
      <c r="AF45" s="131"/>
      <c r="AG45" s="198"/>
      <c r="AH45" s="132"/>
      <c r="AI45" s="198"/>
      <c r="AJ45" s="198"/>
      <c r="AK45" s="219"/>
      <c r="AL45" s="82">
        <f t="shared" si="10"/>
        <v>-2.5449030799791217E-3</v>
      </c>
      <c r="AM45" s="82"/>
      <c r="AN45" s="82"/>
      <c r="AO45" s="82"/>
      <c r="AP45" s="111">
        <f t="shared" si="11"/>
        <v>-2.5449030799791217E-3</v>
      </c>
      <c r="AQ45" s="111"/>
      <c r="AR45" s="111">
        <f t="shared" si="12"/>
        <v>-2.5449030799791217E-3</v>
      </c>
      <c r="AS45" s="111"/>
      <c r="AT45" s="111">
        <v>0</v>
      </c>
      <c r="AU45" s="85">
        <f t="shared" ref="AU45:AU50" si="24">AR45-AT45</f>
        <v>-2.5449030799791217E-3</v>
      </c>
      <c r="AV45" s="85"/>
      <c r="AW45" s="86"/>
      <c r="AX45" s="86"/>
      <c r="AY45" s="85"/>
      <c r="AZ45" s="85"/>
      <c r="BA45" s="85">
        <f t="shared" si="13"/>
        <v>0</v>
      </c>
      <c r="BB45" s="85"/>
      <c r="BC45" s="85"/>
      <c r="BD45" s="85"/>
      <c r="BE45" s="85"/>
      <c r="BF45" s="85"/>
      <c r="BG45" s="85"/>
      <c r="BH45" s="111">
        <f t="shared" si="20"/>
        <v>0</v>
      </c>
      <c r="BI45" s="111"/>
      <c r="BJ45" s="133">
        <f t="shared" si="4"/>
        <v>-5.4729098494174656E-2</v>
      </c>
      <c r="BK45" s="134"/>
      <c r="BL45" s="134"/>
      <c r="BM45" s="135"/>
      <c r="BN45" s="135"/>
      <c r="BO45" s="135"/>
      <c r="BP45" s="135"/>
      <c r="BQ45" s="114">
        <f t="shared" si="14"/>
        <v>-5.4729098494174656E-2</v>
      </c>
      <c r="BR45" s="114">
        <f t="shared" si="15"/>
        <v>-6.2547541136199605E-2</v>
      </c>
      <c r="BS45" s="136"/>
      <c r="BT45" s="136"/>
      <c r="BU45" s="136"/>
      <c r="BV45" s="115">
        <f t="shared" si="16"/>
        <v>-7.2972131325566209E-2</v>
      </c>
      <c r="BW45" s="115"/>
      <c r="BX45" s="116">
        <f t="shared" si="17"/>
        <v>-0.11310680355462766</v>
      </c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>
        <v>0</v>
      </c>
      <c r="CL45" s="93"/>
      <c r="CM45" s="199"/>
    </row>
    <row r="46" spans="1:93" s="196" customFormat="1" ht="25.5" x14ac:dyDescent="0.2">
      <c r="B46" s="99">
        <f t="shared" si="18"/>
        <v>38</v>
      </c>
      <c r="C46" s="122" t="s">
        <v>176</v>
      </c>
      <c r="D46" s="123" t="s">
        <v>177</v>
      </c>
      <c r="E46" s="122" t="s">
        <v>95</v>
      </c>
      <c r="F46" s="100" t="s">
        <v>96</v>
      </c>
      <c r="G46" s="124">
        <v>43525</v>
      </c>
      <c r="H46" s="124">
        <v>43525</v>
      </c>
      <c r="I46" s="125">
        <v>10000000</v>
      </c>
      <c r="J46" s="126">
        <v>7.7499999999999999E-2</v>
      </c>
      <c r="K46" s="76">
        <v>7.4999999999999997E-2</v>
      </c>
      <c r="L46" s="127">
        <v>0.9</v>
      </c>
      <c r="M46" s="128">
        <v>9</v>
      </c>
      <c r="N46" s="128"/>
      <c r="O46" s="127">
        <v>12</v>
      </c>
      <c r="P46" s="128">
        <f t="shared" si="5"/>
        <v>523125</v>
      </c>
      <c r="Q46" s="128">
        <f t="shared" si="6"/>
        <v>6066560.6589831896</v>
      </c>
      <c r="R46" s="128">
        <f t="shared" si="7"/>
        <v>317356.95447305811</v>
      </c>
      <c r="S46" s="128">
        <f t="shared" si="8"/>
        <v>205768.04552694189</v>
      </c>
      <c r="T46" s="129">
        <v>0.606656065898319</v>
      </c>
      <c r="U46" s="128"/>
      <c r="V46" s="127">
        <v>317356.95</v>
      </c>
      <c r="W46" s="128">
        <f t="shared" si="3"/>
        <v>6066560.6589831896</v>
      </c>
      <c r="X46" s="128">
        <f t="shared" si="3"/>
        <v>4.4730580993928015E-3</v>
      </c>
      <c r="Y46" s="130">
        <f t="shared" si="9"/>
        <v>6066560.6589831896</v>
      </c>
      <c r="Z46" s="130">
        <f t="shared" si="9"/>
        <v>4.4730580993928015E-3</v>
      </c>
      <c r="AA46" s="138"/>
      <c r="AB46" s="138"/>
      <c r="AC46" s="130">
        <f t="shared" si="21"/>
        <v>4.4730580993928015E-3</v>
      </c>
      <c r="AD46" s="131">
        <v>0</v>
      </c>
      <c r="AE46" s="131">
        <f t="shared" si="19"/>
        <v>8.5506486965692741E-2</v>
      </c>
      <c r="AF46" s="131"/>
      <c r="AG46" s="198"/>
      <c r="AH46" s="132"/>
      <c r="AI46" s="198"/>
      <c r="AJ46" s="198"/>
      <c r="AK46" s="219"/>
      <c r="AL46" s="82">
        <f t="shared" si="10"/>
        <v>4.4730580993928015E-3</v>
      </c>
      <c r="AM46" s="82"/>
      <c r="AN46" s="82"/>
      <c r="AO46" s="82"/>
      <c r="AP46" s="111">
        <f t="shared" si="11"/>
        <v>4.4730580993928015E-3</v>
      </c>
      <c r="AQ46" s="111"/>
      <c r="AR46" s="111">
        <f t="shared" si="12"/>
        <v>4.4730580993928015E-3</v>
      </c>
      <c r="AS46" s="111"/>
      <c r="AT46" s="111">
        <v>0</v>
      </c>
      <c r="AU46" s="85">
        <f t="shared" si="24"/>
        <v>4.4730580993928015E-3</v>
      </c>
      <c r="AV46" s="85"/>
      <c r="AW46" s="86"/>
      <c r="AX46" s="86"/>
      <c r="AY46" s="85"/>
      <c r="AZ46" s="85"/>
      <c r="BA46" s="85">
        <f t="shared" si="13"/>
        <v>0</v>
      </c>
      <c r="BB46" s="85"/>
      <c r="BC46" s="85"/>
      <c r="BD46" s="85"/>
      <c r="BE46" s="85"/>
      <c r="BF46" s="85"/>
      <c r="BG46" s="85"/>
      <c r="BH46" s="111">
        <f t="shared" si="20"/>
        <v>0</v>
      </c>
      <c r="BI46" s="111"/>
      <c r="BJ46" s="112">
        <f t="shared" si="4"/>
        <v>9.6194797836404333E-2</v>
      </c>
      <c r="BK46" s="134"/>
      <c r="BL46" s="134"/>
      <c r="BM46" s="135"/>
      <c r="BN46" s="135"/>
      <c r="BO46" s="135"/>
      <c r="BP46" s="135"/>
      <c r="BQ46" s="114">
        <f t="shared" si="14"/>
        <v>9.6194797836404333E-2</v>
      </c>
      <c r="BR46" s="114">
        <f t="shared" si="15"/>
        <v>0.10993691181303353</v>
      </c>
      <c r="BS46" s="136"/>
      <c r="BT46" s="136"/>
      <c r="BU46" s="136"/>
      <c r="BV46" s="115">
        <f t="shared" si="16"/>
        <v>0.12825973044853911</v>
      </c>
      <c r="BW46" s="115"/>
      <c r="BX46" s="116">
        <f t="shared" si="17"/>
        <v>0.19880258219523564</v>
      </c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>
        <v>0</v>
      </c>
      <c r="CL46" s="93"/>
      <c r="CM46" s="199"/>
    </row>
    <row r="47" spans="1:93" s="196" customFormat="1" ht="25.5" x14ac:dyDescent="0.2">
      <c r="B47" s="99">
        <f t="shared" si="18"/>
        <v>39</v>
      </c>
      <c r="C47" s="122" t="s">
        <v>176</v>
      </c>
      <c r="D47" s="123" t="s">
        <v>177</v>
      </c>
      <c r="E47" s="122" t="s">
        <v>95</v>
      </c>
      <c r="F47" s="100" t="s">
        <v>96</v>
      </c>
      <c r="G47" s="124">
        <v>43617</v>
      </c>
      <c r="H47" s="124">
        <v>43617</v>
      </c>
      <c r="I47" s="125">
        <v>5000000</v>
      </c>
      <c r="J47" s="126">
        <v>7.7499999999999999E-2</v>
      </c>
      <c r="K47" s="76">
        <v>7.4999999999999997E-2</v>
      </c>
      <c r="L47" s="127">
        <v>0.9</v>
      </c>
      <c r="M47" s="128">
        <v>6</v>
      </c>
      <c r="N47" s="128"/>
      <c r="O47" s="127">
        <v>12</v>
      </c>
      <c r="P47" s="128">
        <f t="shared" si="5"/>
        <v>174375</v>
      </c>
      <c r="Q47" s="128">
        <f t="shared" si="6"/>
        <v>3033280.3294915948</v>
      </c>
      <c r="R47" s="128">
        <f t="shared" si="7"/>
        <v>105785.65149101937</v>
      </c>
      <c r="S47" s="128">
        <f t="shared" si="8"/>
        <v>68589.348508980635</v>
      </c>
      <c r="T47" s="129">
        <v>0.606656065898319</v>
      </c>
      <c r="U47" s="128"/>
      <c r="V47" s="127">
        <v>105785.65</v>
      </c>
      <c r="W47" s="128">
        <f t="shared" si="3"/>
        <v>3033280.3294915948</v>
      </c>
      <c r="X47" s="128">
        <f t="shared" si="3"/>
        <v>1.4910193713149056E-3</v>
      </c>
      <c r="Y47" s="130">
        <f t="shared" si="9"/>
        <v>3033280.3294915948</v>
      </c>
      <c r="Z47" s="130">
        <f t="shared" si="9"/>
        <v>1.4910193713149056E-3</v>
      </c>
      <c r="AA47" s="138"/>
      <c r="AB47" s="138"/>
      <c r="AC47" s="130">
        <f t="shared" si="21"/>
        <v>1.4910193713149056E-3</v>
      </c>
      <c r="AD47" s="131">
        <v>0</v>
      </c>
      <c r="AE47" s="131">
        <f t="shared" si="19"/>
        <v>2.8502162414621855E-2</v>
      </c>
      <c r="AF47" s="131"/>
      <c r="AG47" s="198"/>
      <c r="AH47" s="132"/>
      <c r="AI47" s="198"/>
      <c r="AJ47" s="198"/>
      <c r="AK47" s="219"/>
      <c r="AL47" s="82">
        <f t="shared" si="10"/>
        <v>1.4910193713149056E-3</v>
      </c>
      <c r="AM47" s="82"/>
      <c r="AN47" s="82"/>
      <c r="AO47" s="82"/>
      <c r="AP47" s="111">
        <f t="shared" si="11"/>
        <v>1.4910193713149056E-3</v>
      </c>
      <c r="AQ47" s="111"/>
      <c r="AR47" s="111">
        <f t="shared" si="12"/>
        <v>1.4910193713149056E-3</v>
      </c>
      <c r="AS47" s="111"/>
      <c r="AT47" s="111">
        <v>0</v>
      </c>
      <c r="AU47" s="85">
        <f t="shared" si="24"/>
        <v>1.4910193713149056E-3</v>
      </c>
      <c r="AV47" s="85"/>
      <c r="AW47" s="86"/>
      <c r="AX47" s="86"/>
      <c r="AY47" s="85"/>
      <c r="AZ47" s="85"/>
      <c r="BA47" s="85">
        <f t="shared" si="13"/>
        <v>0</v>
      </c>
      <c r="BB47" s="85"/>
      <c r="BC47" s="85"/>
      <c r="BD47" s="85"/>
      <c r="BE47" s="85"/>
      <c r="BF47" s="85"/>
      <c r="BG47" s="85"/>
      <c r="BH47" s="111">
        <f t="shared" si="20"/>
        <v>0</v>
      </c>
      <c r="BI47" s="111"/>
      <c r="BJ47" s="112">
        <f t="shared" si="4"/>
        <v>3.2064932716449585E-2</v>
      </c>
      <c r="BK47" s="134"/>
      <c r="BL47" s="134"/>
      <c r="BM47" s="135"/>
      <c r="BN47" s="135"/>
      <c r="BO47" s="135"/>
      <c r="BP47" s="135"/>
      <c r="BQ47" s="114">
        <f t="shared" si="14"/>
        <v>3.2064932716449585E-2</v>
      </c>
      <c r="BR47" s="114">
        <f t="shared" si="15"/>
        <v>3.6645637390228095E-2</v>
      </c>
      <c r="BS47" s="136"/>
      <c r="BT47" s="136"/>
      <c r="BU47" s="136"/>
      <c r="BV47" s="115">
        <f t="shared" si="16"/>
        <v>4.2753243621932779E-2</v>
      </c>
      <c r="BW47" s="115"/>
      <c r="BX47" s="116">
        <f t="shared" si="17"/>
        <v>6.6267527613995805E-2</v>
      </c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>
        <v>0</v>
      </c>
      <c r="CL47" s="93"/>
      <c r="CM47" s="199"/>
    </row>
    <row r="48" spans="1:93" s="196" customFormat="1" ht="25.5" x14ac:dyDescent="0.2">
      <c r="B48" s="99">
        <f t="shared" si="18"/>
        <v>40</v>
      </c>
      <c r="C48" s="122" t="s">
        <v>176</v>
      </c>
      <c r="D48" s="123" t="s">
        <v>177</v>
      </c>
      <c r="E48" s="122" t="s">
        <v>161</v>
      </c>
      <c r="F48" s="100" t="s">
        <v>96</v>
      </c>
      <c r="G48" s="124">
        <v>43617</v>
      </c>
      <c r="H48" s="124">
        <v>43617</v>
      </c>
      <c r="I48" s="125">
        <v>5000000</v>
      </c>
      <c r="J48" s="126">
        <v>7.7499999999999999E-2</v>
      </c>
      <c r="K48" s="76">
        <v>7.4999999999999997E-2</v>
      </c>
      <c r="L48" s="127">
        <v>0.9</v>
      </c>
      <c r="M48" s="128">
        <v>6</v>
      </c>
      <c r="N48" s="128"/>
      <c r="O48" s="127">
        <v>12</v>
      </c>
      <c r="P48" s="128">
        <f t="shared" si="5"/>
        <v>174375</v>
      </c>
      <c r="Q48" s="128">
        <f t="shared" si="6"/>
        <v>3033280.3294915948</v>
      </c>
      <c r="R48" s="128">
        <f t="shared" si="7"/>
        <v>105785.65149101937</v>
      </c>
      <c r="S48" s="128">
        <f t="shared" si="8"/>
        <v>68589.348508980635</v>
      </c>
      <c r="T48" s="129">
        <v>0.606656065898319</v>
      </c>
      <c r="U48" s="128"/>
      <c r="V48" s="127">
        <v>105785.65</v>
      </c>
      <c r="W48" s="128">
        <f t="shared" si="3"/>
        <v>3033280.3294915948</v>
      </c>
      <c r="X48" s="128">
        <f t="shared" si="3"/>
        <v>1.4910193713149056E-3</v>
      </c>
      <c r="Y48" s="130">
        <f t="shared" si="9"/>
        <v>3033280.3294915948</v>
      </c>
      <c r="Z48" s="130">
        <f t="shared" si="9"/>
        <v>1.4910193713149056E-3</v>
      </c>
      <c r="AA48" s="138"/>
      <c r="AB48" s="138"/>
      <c r="AC48" s="130">
        <f t="shared" si="21"/>
        <v>1.4910193713149056E-3</v>
      </c>
      <c r="AD48" s="131">
        <v>0</v>
      </c>
      <c r="AE48" s="131">
        <f t="shared" si="19"/>
        <v>2.8502162414621855E-2</v>
      </c>
      <c r="AF48" s="131"/>
      <c r="AG48" s="198"/>
      <c r="AH48" s="132"/>
      <c r="AI48" s="198"/>
      <c r="AJ48" s="198"/>
      <c r="AK48" s="219"/>
      <c r="AL48" s="82">
        <f t="shared" si="10"/>
        <v>1.4910193713149056E-3</v>
      </c>
      <c r="AM48" s="82"/>
      <c r="AN48" s="82"/>
      <c r="AO48" s="82"/>
      <c r="AP48" s="111">
        <f t="shared" si="11"/>
        <v>1.4910193713149056E-3</v>
      </c>
      <c r="AQ48" s="111"/>
      <c r="AR48" s="111">
        <f t="shared" si="12"/>
        <v>1.4910193713149056E-3</v>
      </c>
      <c r="AS48" s="111"/>
      <c r="AT48" s="111">
        <v>0</v>
      </c>
      <c r="AU48" s="85">
        <f t="shared" si="24"/>
        <v>1.4910193713149056E-3</v>
      </c>
      <c r="AV48" s="85"/>
      <c r="AW48" s="86"/>
      <c r="AX48" s="86"/>
      <c r="AY48" s="85"/>
      <c r="AZ48" s="85"/>
      <c r="BA48" s="85">
        <f t="shared" si="13"/>
        <v>0</v>
      </c>
      <c r="BB48" s="85"/>
      <c r="BC48" s="85"/>
      <c r="BD48" s="85"/>
      <c r="BE48" s="85"/>
      <c r="BF48" s="85"/>
      <c r="BG48" s="85"/>
      <c r="BH48" s="111">
        <f t="shared" si="20"/>
        <v>0</v>
      </c>
      <c r="BI48" s="111"/>
      <c r="BJ48" s="112">
        <f t="shared" si="4"/>
        <v>3.2064932716449585E-2</v>
      </c>
      <c r="BK48" s="134"/>
      <c r="BL48" s="134"/>
      <c r="BM48" s="135"/>
      <c r="BN48" s="135"/>
      <c r="BO48" s="135"/>
      <c r="BP48" s="135"/>
      <c r="BQ48" s="114">
        <f t="shared" si="14"/>
        <v>3.2064932716449585E-2</v>
      </c>
      <c r="BR48" s="114">
        <f t="shared" si="15"/>
        <v>3.6645637390228095E-2</v>
      </c>
      <c r="BS48" s="136"/>
      <c r="BT48" s="136"/>
      <c r="BU48" s="136"/>
      <c r="BV48" s="115">
        <f t="shared" si="16"/>
        <v>4.2753243621932779E-2</v>
      </c>
      <c r="BW48" s="115"/>
      <c r="BX48" s="116">
        <f t="shared" si="17"/>
        <v>6.6267527613995805E-2</v>
      </c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>
        <v>0</v>
      </c>
      <c r="CL48" s="93"/>
      <c r="CM48" s="199"/>
    </row>
    <row r="49" spans="1:92" s="174" customFormat="1" ht="25.5" x14ac:dyDescent="0.2">
      <c r="B49" s="145">
        <f t="shared" si="18"/>
        <v>41</v>
      </c>
      <c r="C49" s="204" t="s">
        <v>176</v>
      </c>
      <c r="D49" s="224" t="s">
        <v>177</v>
      </c>
      <c r="E49" s="204" t="s">
        <v>95</v>
      </c>
      <c r="F49" s="148" t="s">
        <v>96</v>
      </c>
      <c r="G49" s="205"/>
      <c r="H49" s="205" t="s">
        <v>148</v>
      </c>
      <c r="I49" s="206">
        <v>0</v>
      </c>
      <c r="J49" s="207"/>
      <c r="K49" s="151">
        <v>7.2499999999999995E-2</v>
      </c>
      <c r="L49" s="220">
        <v>0.9</v>
      </c>
      <c r="M49" s="208">
        <v>8</v>
      </c>
      <c r="N49" s="208">
        <v>2.5</v>
      </c>
      <c r="O49" s="220">
        <v>12</v>
      </c>
      <c r="P49" s="208"/>
      <c r="Q49" s="208">
        <f t="shared" si="6"/>
        <v>0</v>
      </c>
      <c r="R49" s="208"/>
      <c r="S49" s="208"/>
      <c r="T49" s="209"/>
      <c r="U49" s="208"/>
      <c r="V49" s="220"/>
      <c r="W49" s="208">
        <f t="shared" si="3"/>
        <v>0</v>
      </c>
      <c r="X49" s="208"/>
      <c r="Y49" s="210">
        <f t="shared" si="9"/>
        <v>0</v>
      </c>
      <c r="Z49" s="210"/>
      <c r="AA49" s="221"/>
      <c r="AB49" s="221"/>
      <c r="AC49" s="210"/>
      <c r="AD49" s="211"/>
      <c r="AE49" s="211"/>
      <c r="AF49" s="211"/>
      <c r="AG49" s="198"/>
      <c r="AH49" s="198"/>
      <c r="AI49" s="198"/>
      <c r="AJ49" s="198"/>
      <c r="AK49" s="198"/>
      <c r="AL49" s="83"/>
      <c r="AM49" s="83"/>
      <c r="AN49" s="83"/>
      <c r="AO49" s="83"/>
      <c r="AP49" s="83"/>
      <c r="AQ49" s="83"/>
      <c r="AR49" s="83">
        <f t="shared" si="12"/>
        <v>0</v>
      </c>
      <c r="AS49" s="83"/>
      <c r="AT49" s="83">
        <v>0</v>
      </c>
      <c r="AU49" s="83">
        <f t="shared" si="24"/>
        <v>0</v>
      </c>
      <c r="AV49" s="83"/>
      <c r="AW49" s="83"/>
      <c r="AX49" s="83"/>
      <c r="AY49" s="83"/>
      <c r="AZ49" s="83"/>
      <c r="BA49" s="83">
        <f>CL49*7.25%*0.9*3.5/12</f>
        <v>285468.75</v>
      </c>
      <c r="BB49" s="83"/>
      <c r="BC49" s="83">
        <v>108750</v>
      </c>
      <c r="BD49" s="83"/>
      <c r="BE49" s="83"/>
      <c r="BF49" s="83"/>
      <c r="BG49" s="83"/>
      <c r="BH49" s="83">
        <f t="shared" si="20"/>
        <v>176718.75</v>
      </c>
      <c r="BI49" s="83">
        <f>CK49*K49*L49*N49/O49</f>
        <v>115546.875</v>
      </c>
      <c r="BJ49" s="159"/>
      <c r="BK49" s="213"/>
      <c r="BL49" s="213"/>
      <c r="BM49" s="214"/>
      <c r="BN49" s="214"/>
      <c r="BO49" s="214"/>
      <c r="BP49" s="214"/>
      <c r="BQ49" s="160"/>
      <c r="BR49" s="160"/>
      <c r="BS49" s="215"/>
      <c r="BT49" s="215"/>
      <c r="BU49" s="215"/>
      <c r="BV49" s="162"/>
      <c r="BW49" s="162"/>
      <c r="BX49" s="95">
        <f t="shared" si="17"/>
        <v>0</v>
      </c>
      <c r="BY49" s="95"/>
      <c r="BZ49" s="95"/>
      <c r="CA49" s="95"/>
      <c r="CB49" s="95"/>
      <c r="CC49" s="95"/>
      <c r="CD49" s="95"/>
      <c r="CE49" s="95"/>
      <c r="CF49" s="95">
        <v>5000000</v>
      </c>
      <c r="CG49" s="95"/>
      <c r="CH49" s="95"/>
      <c r="CI49" s="95"/>
      <c r="CJ49" s="95"/>
      <c r="CK49" s="95">
        <v>8500000</v>
      </c>
      <c r="CL49" s="95">
        <v>15000000</v>
      </c>
      <c r="CM49" s="216" t="s">
        <v>105</v>
      </c>
      <c r="CN49" s="174" t="s">
        <v>106</v>
      </c>
    </row>
    <row r="50" spans="1:92" s="174" customFormat="1" ht="25.5" x14ac:dyDescent="0.2">
      <c r="B50" s="145">
        <f t="shared" si="18"/>
        <v>42</v>
      </c>
      <c r="C50" s="204" t="s">
        <v>176</v>
      </c>
      <c r="D50" s="224" t="s">
        <v>177</v>
      </c>
      <c r="E50" s="204" t="s">
        <v>95</v>
      </c>
      <c r="F50" s="148" t="s">
        <v>96</v>
      </c>
      <c r="G50" s="205"/>
      <c r="H50" s="205" t="s">
        <v>124</v>
      </c>
      <c r="I50" s="206">
        <v>0</v>
      </c>
      <c r="J50" s="207"/>
      <c r="K50" s="151">
        <v>7.2499999999999995E-2</v>
      </c>
      <c r="L50" s="220">
        <v>0.9</v>
      </c>
      <c r="M50" s="208">
        <v>8</v>
      </c>
      <c r="N50" s="208">
        <v>2</v>
      </c>
      <c r="O50" s="220">
        <v>12</v>
      </c>
      <c r="P50" s="208"/>
      <c r="Q50" s="208">
        <f t="shared" si="6"/>
        <v>0</v>
      </c>
      <c r="R50" s="208"/>
      <c r="S50" s="208"/>
      <c r="T50" s="209"/>
      <c r="U50" s="208"/>
      <c r="V50" s="220"/>
      <c r="W50" s="208">
        <f t="shared" si="3"/>
        <v>0</v>
      </c>
      <c r="X50" s="208"/>
      <c r="Y50" s="210">
        <f t="shared" si="9"/>
        <v>0</v>
      </c>
      <c r="Z50" s="210"/>
      <c r="AA50" s="221"/>
      <c r="AB50" s="221"/>
      <c r="AC50" s="210"/>
      <c r="AD50" s="211"/>
      <c r="AE50" s="211"/>
      <c r="AF50" s="211"/>
      <c r="AG50" s="198"/>
      <c r="AH50" s="198"/>
      <c r="AI50" s="198"/>
      <c r="AJ50" s="198"/>
      <c r="AK50" s="198"/>
      <c r="AL50" s="83"/>
      <c r="AM50" s="83"/>
      <c r="AN50" s="83"/>
      <c r="AO50" s="83"/>
      <c r="AP50" s="83"/>
      <c r="AQ50" s="83"/>
      <c r="AR50" s="83">
        <f t="shared" si="12"/>
        <v>0</v>
      </c>
      <c r="AS50" s="83"/>
      <c r="AT50" s="83">
        <v>0</v>
      </c>
      <c r="AU50" s="83">
        <f t="shared" si="24"/>
        <v>0</v>
      </c>
      <c r="AV50" s="83"/>
      <c r="AW50" s="83"/>
      <c r="AX50" s="83"/>
      <c r="AY50" s="83"/>
      <c r="AZ50" s="83"/>
      <c r="BA50" s="83">
        <f>CL50*7.25%*0.9*3.5/12</f>
        <v>190312.5</v>
      </c>
      <c r="BB50" s="83"/>
      <c r="BC50" s="83">
        <v>204450</v>
      </c>
      <c r="BD50" s="83"/>
      <c r="BE50" s="83"/>
      <c r="BF50" s="83"/>
      <c r="BG50" s="83"/>
      <c r="BH50" s="83">
        <f t="shared" si="20"/>
        <v>-14137.5</v>
      </c>
      <c r="BI50" s="83">
        <f>CK50*K50*L50*N50/O50</f>
        <v>92437.5</v>
      </c>
      <c r="BJ50" s="159"/>
      <c r="BK50" s="213"/>
      <c r="BL50" s="213"/>
      <c r="BM50" s="214"/>
      <c r="BN50" s="214"/>
      <c r="BO50" s="214"/>
      <c r="BP50" s="214"/>
      <c r="BQ50" s="160"/>
      <c r="BR50" s="160"/>
      <c r="BS50" s="215"/>
      <c r="BT50" s="215"/>
      <c r="BU50" s="215"/>
      <c r="BV50" s="162"/>
      <c r="BW50" s="162"/>
      <c r="BX50" s="95">
        <f t="shared" si="17"/>
        <v>0</v>
      </c>
      <c r="BY50" s="95"/>
      <c r="BZ50" s="95"/>
      <c r="CA50" s="95"/>
      <c r="CB50" s="95"/>
      <c r="CC50" s="95"/>
      <c r="CD50" s="95"/>
      <c r="CE50" s="95"/>
      <c r="CF50" s="95">
        <v>9400000</v>
      </c>
      <c r="CG50" s="95"/>
      <c r="CH50" s="95"/>
      <c r="CI50" s="95"/>
      <c r="CJ50" s="95"/>
      <c r="CK50" s="95">
        <v>8500000</v>
      </c>
      <c r="CL50" s="95">
        <v>10000000</v>
      </c>
      <c r="CM50" s="216" t="s">
        <v>105</v>
      </c>
      <c r="CN50" s="174" t="s">
        <v>106</v>
      </c>
    </row>
    <row r="51" spans="1:92" s="196" customFormat="1" ht="25.5" x14ac:dyDescent="0.2">
      <c r="A51" s="196">
        <f>A44+1</f>
        <v>24</v>
      </c>
      <c r="B51" s="99">
        <f t="shared" si="18"/>
        <v>43</v>
      </c>
      <c r="C51" s="122" t="s">
        <v>178</v>
      </c>
      <c r="D51" s="123" t="s">
        <v>179</v>
      </c>
      <c r="E51" s="122" t="s">
        <v>95</v>
      </c>
      <c r="F51" s="100" t="s">
        <v>96</v>
      </c>
      <c r="G51" s="124">
        <v>43525</v>
      </c>
      <c r="H51" s="124">
        <v>43525</v>
      </c>
      <c r="I51" s="125">
        <v>15000000</v>
      </c>
      <c r="J51" s="126">
        <v>7.7499999999999999E-2</v>
      </c>
      <c r="K51" s="76">
        <v>7.4999999999999997E-2</v>
      </c>
      <c r="L51" s="127">
        <v>0.9</v>
      </c>
      <c r="M51" s="128">
        <v>9</v>
      </c>
      <c r="N51" s="128"/>
      <c r="O51" s="127">
        <v>12</v>
      </c>
      <c r="P51" s="128">
        <f t="shared" si="5"/>
        <v>784687.5</v>
      </c>
      <c r="Q51" s="128">
        <f t="shared" si="6"/>
        <v>9099840.9884747844</v>
      </c>
      <c r="R51" s="128">
        <f t="shared" si="7"/>
        <v>476035.43170958717</v>
      </c>
      <c r="S51" s="128">
        <f t="shared" si="8"/>
        <v>308652.06829041283</v>
      </c>
      <c r="T51" s="129">
        <v>0.606656065898319</v>
      </c>
      <c r="U51" s="172">
        <v>10000000</v>
      </c>
      <c r="V51" s="141">
        <v>581250</v>
      </c>
      <c r="W51" s="128">
        <f t="shared" si="3"/>
        <v>-900159.01152521558</v>
      </c>
      <c r="X51" s="128">
        <f t="shared" si="3"/>
        <v>-105214.56829041283</v>
      </c>
      <c r="Y51" s="130">
        <f t="shared" si="9"/>
        <v>-900159.01152521558</v>
      </c>
      <c r="Z51" s="130">
        <f t="shared" si="9"/>
        <v>-105214.56829041283</v>
      </c>
      <c r="AA51" s="130"/>
      <c r="AB51" s="130"/>
      <c r="AC51" s="130">
        <f t="shared" si="21"/>
        <v>-105214.56829041283</v>
      </c>
      <c r="AD51" s="131">
        <v>-1810143.1103726937</v>
      </c>
      <c r="AE51" s="131">
        <f t="shared" si="19"/>
        <v>-2011270.1226363266</v>
      </c>
      <c r="AF51" s="131"/>
      <c r="AG51" s="198"/>
      <c r="AH51" s="132"/>
      <c r="AI51" s="198"/>
      <c r="AJ51" s="198"/>
      <c r="AK51" s="219"/>
      <c r="AL51" s="82">
        <f t="shared" si="10"/>
        <v>-105214.56829041283</v>
      </c>
      <c r="AM51" s="82"/>
      <c r="AN51" s="82"/>
      <c r="AO51" s="82"/>
      <c r="AP51" s="111">
        <f t="shared" si="11"/>
        <v>-105214.56829041283</v>
      </c>
      <c r="AQ51" s="111"/>
      <c r="AR51" s="82">
        <v>0</v>
      </c>
      <c r="AS51" s="82"/>
      <c r="AT51" s="82">
        <v>0</v>
      </c>
      <c r="AU51" s="85"/>
      <c r="AV51" s="85"/>
      <c r="AW51" s="86"/>
      <c r="AX51" s="86"/>
      <c r="AY51" s="85"/>
      <c r="AZ51" s="85"/>
      <c r="BA51" s="85">
        <f t="shared" si="13"/>
        <v>0</v>
      </c>
      <c r="BB51" s="85"/>
      <c r="BC51" s="85"/>
      <c r="BD51" s="85"/>
      <c r="BE51" s="85"/>
      <c r="BF51" s="85"/>
      <c r="BG51" s="85"/>
      <c r="BH51" s="111">
        <f t="shared" si="20"/>
        <v>0</v>
      </c>
      <c r="BI51" s="111">
        <v>0</v>
      </c>
      <c r="BJ51" s="133">
        <f t="shared" si="4"/>
        <v>-2262678.8879658673</v>
      </c>
      <c r="BK51" s="134"/>
      <c r="BL51" s="134"/>
      <c r="BM51" s="135"/>
      <c r="BN51" s="135"/>
      <c r="BO51" s="135"/>
      <c r="BP51" s="135"/>
      <c r="BQ51" s="114">
        <f t="shared" si="14"/>
        <v>-2262678.8879658673</v>
      </c>
      <c r="BR51" s="114">
        <f t="shared" si="15"/>
        <v>-2585918.7291038483</v>
      </c>
      <c r="BS51" s="136"/>
      <c r="BT51" s="136"/>
      <c r="BU51" s="136"/>
      <c r="BV51" s="115">
        <f t="shared" si="16"/>
        <v>-3016905.1839544899</v>
      </c>
      <c r="BW51" s="115"/>
      <c r="BX51" s="142">
        <f t="shared" si="17"/>
        <v>0</v>
      </c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>
        <v>0</v>
      </c>
      <c r="CL51" s="93"/>
      <c r="CM51" s="199"/>
    </row>
    <row r="52" spans="1:92" s="2" customFormat="1" ht="25.5" x14ac:dyDescent="0.2">
      <c r="A52" s="2">
        <f>A51+1</f>
        <v>25</v>
      </c>
      <c r="B52" s="99">
        <f t="shared" si="18"/>
        <v>44</v>
      </c>
      <c r="C52" s="100" t="s">
        <v>180</v>
      </c>
      <c r="D52" s="101" t="s">
        <v>181</v>
      </c>
      <c r="E52" s="100" t="s">
        <v>95</v>
      </c>
      <c r="F52" s="100" t="s">
        <v>134</v>
      </c>
      <c r="G52" s="103">
        <v>43497</v>
      </c>
      <c r="H52" s="124" t="s">
        <v>171</v>
      </c>
      <c r="I52" s="104">
        <v>15000000</v>
      </c>
      <c r="J52" s="105">
        <v>7.7499999999999999E-2</v>
      </c>
      <c r="K52" s="76">
        <v>7.4999999999999997E-2</v>
      </c>
      <c r="L52" s="106">
        <v>0.9</v>
      </c>
      <c r="M52" s="107">
        <v>10</v>
      </c>
      <c r="N52" s="107"/>
      <c r="O52" s="106">
        <v>12</v>
      </c>
      <c r="P52" s="107">
        <f t="shared" si="5"/>
        <v>871875</v>
      </c>
      <c r="Q52" s="107">
        <f t="shared" si="6"/>
        <v>9099840.9884747844</v>
      </c>
      <c r="R52" s="107">
        <f t="shared" si="7"/>
        <v>528928.25745509693</v>
      </c>
      <c r="S52" s="107">
        <f t="shared" si="8"/>
        <v>342946.74254490307</v>
      </c>
      <c r="T52" s="108">
        <v>0.606656065898319</v>
      </c>
      <c r="U52" s="107"/>
      <c r="V52" s="106"/>
      <c r="W52" s="107">
        <f t="shared" si="3"/>
        <v>9099840.9884747844</v>
      </c>
      <c r="X52" s="107">
        <f t="shared" si="3"/>
        <v>528928.25745509693</v>
      </c>
      <c r="Y52" s="109">
        <f t="shared" si="9"/>
        <v>9099840.9884747844</v>
      </c>
      <c r="Z52" s="109">
        <f t="shared" si="9"/>
        <v>528928.25745509693</v>
      </c>
      <c r="AA52" s="109"/>
      <c r="AB52" s="109"/>
      <c r="AC52" s="109">
        <f t="shared" si="21"/>
        <v>528928.25745509693</v>
      </c>
      <c r="AD52" s="110">
        <v>9099840.9884747863</v>
      </c>
      <c r="AE52" s="110">
        <f t="shared" si="19"/>
        <v>10110934.431638651</v>
      </c>
      <c r="AF52" s="110"/>
      <c r="AG52" s="83">
        <v>-528928.26</v>
      </c>
      <c r="AH52" s="111"/>
      <c r="AI52" s="83"/>
      <c r="AJ52" s="83"/>
      <c r="AK52" s="84"/>
      <c r="AL52" s="82">
        <f t="shared" si="10"/>
        <v>-2.5449030799791217E-3</v>
      </c>
      <c r="AM52" s="82"/>
      <c r="AN52" s="82"/>
      <c r="AO52" s="82"/>
      <c r="AP52" s="111">
        <f t="shared" si="11"/>
        <v>-2.5449030799791217E-3</v>
      </c>
      <c r="AQ52" s="111"/>
      <c r="AR52" s="82">
        <f t="shared" si="12"/>
        <v>-2.5449030799791217E-3</v>
      </c>
      <c r="AS52" s="82"/>
      <c r="AT52" s="82">
        <v>0</v>
      </c>
      <c r="AU52" s="85">
        <f t="shared" ref="AU52:AU55" si="25">AR52-AT52</f>
        <v>-2.5449030799791217E-3</v>
      </c>
      <c r="AV52" s="85"/>
      <c r="AW52" s="86"/>
      <c r="AX52" s="86"/>
      <c r="AY52" s="85"/>
      <c r="AZ52" s="85"/>
      <c r="BA52" s="85">
        <f t="shared" si="13"/>
        <v>0</v>
      </c>
      <c r="BB52" s="85"/>
      <c r="BC52" s="85"/>
      <c r="BD52" s="85"/>
      <c r="BE52" s="85"/>
      <c r="BF52" s="85"/>
      <c r="BG52" s="85"/>
      <c r="BH52" s="111">
        <f t="shared" si="20"/>
        <v>0</v>
      </c>
      <c r="BI52" s="111"/>
      <c r="BJ52" s="112">
        <f t="shared" si="4"/>
        <v>11374801.235593483</v>
      </c>
      <c r="BK52" s="112"/>
      <c r="BL52" s="133">
        <v>-11374801.24</v>
      </c>
      <c r="BM52" s="113"/>
      <c r="BN52" s="113"/>
      <c r="BO52" s="113"/>
      <c r="BP52" s="113"/>
      <c r="BQ52" s="114">
        <f t="shared" si="14"/>
        <v>-4.4065173715353012E-3</v>
      </c>
      <c r="BR52" s="114">
        <f t="shared" si="15"/>
        <v>-6.2547541136199605E-2</v>
      </c>
      <c r="BS52" s="98"/>
      <c r="BT52" s="98"/>
      <c r="BU52" s="98"/>
      <c r="BV52" s="115">
        <f t="shared" si="16"/>
        <v>-7.2972131325566209E-2</v>
      </c>
      <c r="BW52" s="115"/>
      <c r="BX52" s="116">
        <f t="shared" si="17"/>
        <v>-0.11310680355462766</v>
      </c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>
        <v>0</v>
      </c>
      <c r="CL52" s="93"/>
      <c r="CM52" s="163"/>
    </row>
    <row r="53" spans="1:92" s="120" customFormat="1" ht="25.5" x14ac:dyDescent="0.2">
      <c r="A53" s="120">
        <f>A52+1</f>
        <v>26</v>
      </c>
      <c r="B53" s="99">
        <f t="shared" si="18"/>
        <v>45</v>
      </c>
      <c r="C53" s="122" t="s">
        <v>182</v>
      </c>
      <c r="D53" s="123" t="s">
        <v>183</v>
      </c>
      <c r="E53" s="122" t="s">
        <v>161</v>
      </c>
      <c r="F53" s="100" t="s">
        <v>134</v>
      </c>
      <c r="G53" s="124">
        <v>43497</v>
      </c>
      <c r="H53" s="124" t="s">
        <v>148</v>
      </c>
      <c r="I53" s="125">
        <v>18000000</v>
      </c>
      <c r="J53" s="126">
        <v>7.7499999999999999E-2</v>
      </c>
      <c r="K53" s="105">
        <v>7.4999999999999997E-2</v>
      </c>
      <c r="L53" s="127">
        <v>0.9</v>
      </c>
      <c r="M53" s="128">
        <v>10</v>
      </c>
      <c r="N53" s="128"/>
      <c r="O53" s="127">
        <v>12</v>
      </c>
      <c r="P53" s="128">
        <f t="shared" si="5"/>
        <v>1046250</v>
      </c>
      <c r="Q53" s="128">
        <f t="shared" si="6"/>
        <v>10919809.186169742</v>
      </c>
      <c r="R53" s="128">
        <f t="shared" si="7"/>
        <v>634713.90894611611</v>
      </c>
      <c r="S53" s="128">
        <f t="shared" si="8"/>
        <v>411536.09105388389</v>
      </c>
      <c r="T53" s="129">
        <v>0.606656065898319</v>
      </c>
      <c r="U53" s="128"/>
      <c r="V53" s="127"/>
      <c r="W53" s="128">
        <f t="shared" si="3"/>
        <v>10919809.186169742</v>
      </c>
      <c r="X53" s="128">
        <f t="shared" si="3"/>
        <v>634713.90894611611</v>
      </c>
      <c r="Y53" s="130">
        <f t="shared" si="9"/>
        <v>10919809.186169742</v>
      </c>
      <c r="Z53" s="130">
        <f t="shared" si="9"/>
        <v>634713.90894611611</v>
      </c>
      <c r="AA53" s="131">
        <f>719296.87-AA54</f>
        <v>634713.91</v>
      </c>
      <c r="AB53" s="131"/>
      <c r="AC53" s="130">
        <f t="shared" si="21"/>
        <v>-1.0538839269429445E-3</v>
      </c>
      <c r="AD53" s="131">
        <v>783.74432570487261</v>
      </c>
      <c r="AE53" s="131">
        <f t="shared" si="19"/>
        <v>-2.0145929308347802E-2</v>
      </c>
      <c r="AF53" s="131"/>
      <c r="AG53" s="132"/>
      <c r="AH53" s="132"/>
      <c r="AI53" s="132"/>
      <c r="AJ53" s="132"/>
      <c r="AK53" s="132"/>
      <c r="AL53" s="111">
        <f t="shared" si="10"/>
        <v>-1.0538839269429445E-3</v>
      </c>
      <c r="AM53" s="111"/>
      <c r="AN53" s="111"/>
      <c r="AO53" s="111"/>
      <c r="AP53" s="111">
        <f t="shared" si="11"/>
        <v>-1.0538839269429445E-3</v>
      </c>
      <c r="AQ53" s="111"/>
      <c r="AR53" s="111">
        <f t="shared" si="12"/>
        <v>-1.0538839269429445E-3</v>
      </c>
      <c r="AS53" s="111"/>
      <c r="AT53" s="111">
        <v>0</v>
      </c>
      <c r="AU53" s="111">
        <f t="shared" si="25"/>
        <v>-1.0538839269429445E-3</v>
      </c>
      <c r="AV53" s="111"/>
      <c r="AW53" s="111"/>
      <c r="AX53" s="111"/>
      <c r="AY53" s="111"/>
      <c r="AZ53" s="111"/>
      <c r="BA53" s="111">
        <f t="shared" si="13"/>
        <v>0</v>
      </c>
      <c r="BB53" s="111"/>
      <c r="BC53" s="111"/>
      <c r="BD53" s="111"/>
      <c r="BE53" s="111"/>
      <c r="BF53" s="111"/>
      <c r="BG53" s="111">
        <v>81562.5</v>
      </c>
      <c r="BH53" s="111">
        <f t="shared" si="20"/>
        <v>-81562.5</v>
      </c>
      <c r="BI53" s="111"/>
      <c r="BJ53" s="133">
        <f t="shared" si="4"/>
        <v>-2.266417047189128E-2</v>
      </c>
      <c r="BK53" s="134"/>
      <c r="BL53" s="134"/>
      <c r="BM53" s="135"/>
      <c r="BN53" s="135"/>
      <c r="BO53" s="135"/>
      <c r="BP53" s="135"/>
      <c r="BQ53" s="114">
        <f t="shared" si="14"/>
        <v>-2.266417047189128E-2</v>
      </c>
      <c r="BR53" s="114">
        <f t="shared" si="15"/>
        <v>-2.5901909110732889E-2</v>
      </c>
      <c r="BS53" s="136"/>
      <c r="BT53" s="136"/>
      <c r="BU53" s="136"/>
      <c r="BV53" s="115">
        <f t="shared" si="16"/>
        <v>-3.0218893962521705E-2</v>
      </c>
      <c r="BW53" s="115"/>
      <c r="BX53" s="116">
        <f t="shared" si="17"/>
        <v>-4.6839285641908646E-2</v>
      </c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>
        <v>5000000</v>
      </c>
      <c r="CK53" s="116">
        <f>5000000-5000000</f>
        <v>0</v>
      </c>
      <c r="CL53" s="116"/>
      <c r="CM53" s="119"/>
    </row>
    <row r="54" spans="1:92" s="174" customFormat="1" ht="25.5" x14ac:dyDescent="0.2">
      <c r="B54" s="145">
        <f t="shared" si="18"/>
        <v>46</v>
      </c>
      <c r="C54" s="204" t="s">
        <v>182</v>
      </c>
      <c r="D54" s="224" t="s">
        <v>183</v>
      </c>
      <c r="E54" s="204" t="s">
        <v>161</v>
      </c>
      <c r="F54" s="148"/>
      <c r="G54" s="205">
        <v>43739</v>
      </c>
      <c r="H54" s="205">
        <v>43739</v>
      </c>
      <c r="I54" s="206">
        <v>12000000</v>
      </c>
      <c r="J54" s="207">
        <v>7.7499999999999999E-2</v>
      </c>
      <c r="K54" s="76">
        <v>7.2499999999999995E-2</v>
      </c>
      <c r="L54" s="220">
        <v>0.9</v>
      </c>
      <c r="M54" s="208">
        <v>2</v>
      </c>
      <c r="N54" s="208">
        <v>2</v>
      </c>
      <c r="O54" s="220">
        <v>12</v>
      </c>
      <c r="P54" s="208">
        <f t="shared" si="5"/>
        <v>139500</v>
      </c>
      <c r="Q54" s="208">
        <f t="shared" si="6"/>
        <v>7279872.7907798281</v>
      </c>
      <c r="R54" s="208">
        <f t="shared" si="7"/>
        <v>84628.521192815504</v>
      </c>
      <c r="S54" s="208">
        <f t="shared" si="8"/>
        <v>54871.478807184496</v>
      </c>
      <c r="T54" s="209">
        <v>0.606656065898319</v>
      </c>
      <c r="U54" s="208"/>
      <c r="V54" s="220"/>
      <c r="W54" s="208">
        <f t="shared" si="3"/>
        <v>7279872.7907798281</v>
      </c>
      <c r="X54" s="208">
        <f t="shared" si="3"/>
        <v>84628.521192815504</v>
      </c>
      <c r="Y54" s="210">
        <f t="shared" si="9"/>
        <v>7279872.7907798281</v>
      </c>
      <c r="Z54" s="210">
        <f t="shared" si="9"/>
        <v>84628.521192815504</v>
      </c>
      <c r="AA54" s="211">
        <v>84582.96</v>
      </c>
      <c r="AB54" s="211"/>
      <c r="AC54" s="210">
        <f t="shared" si="21"/>
        <v>45.561192815497634</v>
      </c>
      <c r="AD54" s="211">
        <v>0</v>
      </c>
      <c r="AE54" s="211">
        <f t="shared" si="19"/>
        <v>870.94275394021759</v>
      </c>
      <c r="AF54" s="211"/>
      <c r="AG54" s="198"/>
      <c r="AH54" s="198"/>
      <c r="AI54" s="198"/>
      <c r="AJ54" s="198"/>
      <c r="AK54" s="198"/>
      <c r="AL54" s="83">
        <f t="shared" si="10"/>
        <v>45.561192815497634</v>
      </c>
      <c r="AM54" s="83"/>
      <c r="AN54" s="83"/>
      <c r="AO54" s="83"/>
      <c r="AP54" s="83">
        <f t="shared" si="11"/>
        <v>45.561192815497634</v>
      </c>
      <c r="AQ54" s="83"/>
      <c r="AR54" s="83">
        <f t="shared" si="12"/>
        <v>45.561192815497634</v>
      </c>
      <c r="AS54" s="83"/>
      <c r="AT54" s="83">
        <v>0</v>
      </c>
      <c r="AU54" s="83">
        <f t="shared" si="25"/>
        <v>45.561192815497634</v>
      </c>
      <c r="AV54" s="83"/>
      <c r="AW54" s="83"/>
      <c r="AX54" s="83"/>
      <c r="AY54" s="83"/>
      <c r="AZ54" s="83"/>
      <c r="BA54" s="83">
        <f>CL54*7.25%*0.9*3.5/12</f>
        <v>228374.99999999997</v>
      </c>
      <c r="BB54" s="83"/>
      <c r="BC54" s="83"/>
      <c r="BD54" s="83"/>
      <c r="BE54" s="83"/>
      <c r="BF54" s="83"/>
      <c r="BG54" s="83"/>
      <c r="BH54" s="83">
        <f t="shared" si="20"/>
        <v>228374.99999999997</v>
      </c>
      <c r="BI54" s="85">
        <f>CK54*K54*L54*N54/O54</f>
        <v>130499.99999999999</v>
      </c>
      <c r="BJ54" s="159">
        <f t="shared" si="4"/>
        <v>979.8105981827448</v>
      </c>
      <c r="BK54" s="213"/>
      <c r="BL54" s="213"/>
      <c r="BM54" s="214"/>
      <c r="BN54" s="214"/>
      <c r="BO54" s="214"/>
      <c r="BP54" s="214"/>
      <c r="BQ54" s="160">
        <f t="shared" si="14"/>
        <v>979.8105981827448</v>
      </c>
      <c r="BR54" s="160">
        <f t="shared" si="15"/>
        <v>1119.7835407802797</v>
      </c>
      <c r="BS54" s="215"/>
      <c r="BT54" s="215"/>
      <c r="BU54" s="215"/>
      <c r="BV54" s="162">
        <f t="shared" si="16"/>
        <v>1306.4141309103263</v>
      </c>
      <c r="BW54" s="162"/>
      <c r="BX54" s="95">
        <f t="shared" si="17"/>
        <v>2094.7674857700063</v>
      </c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>
        <v>12000000</v>
      </c>
      <c r="CL54" s="95">
        <v>12000000</v>
      </c>
      <c r="CM54" s="170" t="s">
        <v>135</v>
      </c>
      <c r="CN54" s="171" t="s">
        <v>184</v>
      </c>
    </row>
    <row r="55" spans="1:92" s="118" customFormat="1" ht="38.25" x14ac:dyDescent="0.2">
      <c r="A55" s="98">
        <f>A53+1</f>
        <v>27</v>
      </c>
      <c r="B55" s="99">
        <f t="shared" si="18"/>
        <v>47</v>
      </c>
      <c r="C55" s="100" t="s">
        <v>185</v>
      </c>
      <c r="D55" s="101" t="s">
        <v>186</v>
      </c>
      <c r="E55" s="100" t="s">
        <v>151</v>
      </c>
      <c r="F55" s="100" t="s">
        <v>96</v>
      </c>
      <c r="G55" s="103">
        <v>43497</v>
      </c>
      <c r="H55" s="103" t="s">
        <v>130</v>
      </c>
      <c r="I55" s="104">
        <v>200000</v>
      </c>
      <c r="J55" s="105">
        <v>7.7499999999999999E-2</v>
      </c>
      <c r="K55" s="105">
        <v>7.4999999999999997E-2</v>
      </c>
      <c r="L55" s="106">
        <v>0.9</v>
      </c>
      <c r="M55" s="107">
        <v>10</v>
      </c>
      <c r="N55" s="107"/>
      <c r="O55" s="106">
        <v>12</v>
      </c>
      <c r="P55" s="107">
        <f t="shared" si="5"/>
        <v>11625</v>
      </c>
      <c r="Q55" s="107">
        <f t="shared" si="6"/>
        <v>121331.2131796638</v>
      </c>
      <c r="R55" s="107">
        <f t="shared" si="7"/>
        <v>7052.3767660679587</v>
      </c>
      <c r="S55" s="107">
        <f t="shared" si="8"/>
        <v>4572.6232339320413</v>
      </c>
      <c r="T55" s="108">
        <v>0.606656065898319</v>
      </c>
      <c r="U55" s="107"/>
      <c r="V55" s="106"/>
      <c r="W55" s="107">
        <f t="shared" si="3"/>
        <v>121331.2131796638</v>
      </c>
      <c r="X55" s="107">
        <f t="shared" si="3"/>
        <v>7052.3767660679587</v>
      </c>
      <c r="Y55" s="109">
        <f t="shared" si="9"/>
        <v>121331.2131796638</v>
      </c>
      <c r="Z55" s="109">
        <f t="shared" si="9"/>
        <v>7052.3767660679587</v>
      </c>
      <c r="AA55" s="110"/>
      <c r="AB55" s="110"/>
      <c r="AC55" s="109">
        <f t="shared" si="21"/>
        <v>7052.3767660679587</v>
      </c>
      <c r="AD55" s="110">
        <v>121331.21317966381</v>
      </c>
      <c r="AE55" s="110">
        <f t="shared" si="19"/>
        <v>134812.45908851534</v>
      </c>
      <c r="AF55" s="110"/>
      <c r="AG55" s="111"/>
      <c r="AH55" s="111"/>
      <c r="AI55" s="111"/>
      <c r="AJ55" s="111"/>
      <c r="AK55" s="111"/>
      <c r="AL55" s="111">
        <f t="shared" si="10"/>
        <v>7052.3767660679587</v>
      </c>
      <c r="AM55" s="111"/>
      <c r="AN55" s="111"/>
      <c r="AO55" s="111"/>
      <c r="AP55" s="111">
        <f>AL55-AM55-AN55-AO55-7052.38</f>
        <v>-3.2339320414394024E-3</v>
      </c>
      <c r="AQ55" s="111"/>
      <c r="AR55" s="111">
        <f t="shared" si="12"/>
        <v>-3.2339320414394024E-3</v>
      </c>
      <c r="AS55" s="111"/>
      <c r="AT55" s="111">
        <v>0</v>
      </c>
      <c r="AU55" s="111">
        <f t="shared" si="25"/>
        <v>-3.2339320414394024E-3</v>
      </c>
      <c r="AV55" s="111"/>
      <c r="AW55" s="111"/>
      <c r="AX55" s="111"/>
      <c r="AY55" s="111"/>
      <c r="AZ55" s="111"/>
      <c r="BA55" s="111">
        <f t="shared" si="13"/>
        <v>0</v>
      </c>
      <c r="BB55" s="111"/>
      <c r="BC55" s="111"/>
      <c r="BD55" s="111"/>
      <c r="BE55" s="111"/>
      <c r="BF55" s="111"/>
      <c r="BG55" s="111"/>
      <c r="BH55" s="111">
        <f t="shared" si="20"/>
        <v>0</v>
      </c>
      <c r="BI55" s="111"/>
      <c r="BJ55" s="112">
        <f t="shared" si="4"/>
        <v>151664.01647457975</v>
      </c>
      <c r="BK55" s="112"/>
      <c r="BL55" s="112"/>
      <c r="BM55" s="113"/>
      <c r="BN55" s="113"/>
      <c r="BO55" s="113"/>
      <c r="BP55" s="113"/>
      <c r="BQ55" s="114">
        <f t="shared" si="14"/>
        <v>151664.01647457975</v>
      </c>
      <c r="BR55" s="114">
        <f t="shared" si="15"/>
        <v>173330.30454237686</v>
      </c>
      <c r="BS55" s="98"/>
      <c r="BT55" s="98"/>
      <c r="BU55" s="98"/>
      <c r="BV55" s="115">
        <f t="shared" si="16"/>
        <v>-9.2729234163136984E-2</v>
      </c>
      <c r="BW55" s="115"/>
      <c r="BX55" s="116">
        <f t="shared" si="17"/>
        <v>-0.14373031295286234</v>
      </c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>
        <v>0</v>
      </c>
      <c r="CL55" s="116"/>
      <c r="CM55" s="117"/>
    </row>
    <row r="56" spans="1:92" s="196" customFormat="1" ht="38.25" x14ac:dyDescent="0.2">
      <c r="A56" s="98">
        <f>A55+1</f>
        <v>28</v>
      </c>
      <c r="B56" s="99">
        <f t="shared" si="18"/>
        <v>48</v>
      </c>
      <c r="C56" s="122" t="s">
        <v>187</v>
      </c>
      <c r="D56" s="123" t="s">
        <v>188</v>
      </c>
      <c r="E56" s="122"/>
      <c r="F56" s="100" t="s">
        <v>96</v>
      </c>
      <c r="G56" s="124"/>
      <c r="H56" s="124" t="s">
        <v>189</v>
      </c>
      <c r="I56" s="125"/>
      <c r="J56" s="76">
        <v>7.7499999999999999E-2</v>
      </c>
      <c r="K56" s="76">
        <v>7.4999999999999997E-2</v>
      </c>
      <c r="L56" s="77">
        <v>0.9</v>
      </c>
      <c r="M56" s="78">
        <v>0</v>
      </c>
      <c r="N56" s="78"/>
      <c r="O56" s="77">
        <v>12</v>
      </c>
      <c r="P56" s="128"/>
      <c r="Q56" s="176"/>
      <c r="R56" s="128"/>
      <c r="S56" s="128"/>
      <c r="T56" s="129"/>
      <c r="U56" s="176"/>
      <c r="V56" s="127"/>
      <c r="W56" s="128"/>
      <c r="X56" s="128"/>
      <c r="Y56" s="130">
        <f t="shared" si="9"/>
        <v>0</v>
      </c>
      <c r="Z56" s="130">
        <f t="shared" si="9"/>
        <v>0</v>
      </c>
      <c r="AA56" s="131"/>
      <c r="AB56" s="131">
        <v>6879.59</v>
      </c>
      <c r="AC56" s="225">
        <f t="shared" si="21"/>
        <v>-6879.59</v>
      </c>
      <c r="AD56" s="226">
        <v>-200000</v>
      </c>
      <c r="AE56" s="226">
        <f>AC56/7.75/0.9/9*12*100</f>
        <v>-131509.48626045402</v>
      </c>
      <c r="AF56" s="226"/>
      <c r="AG56" s="227"/>
      <c r="AH56" s="227"/>
      <c r="AI56" s="227"/>
      <c r="AJ56" s="227"/>
      <c r="AK56" s="227"/>
      <c r="AL56" s="111">
        <f t="shared" si="10"/>
        <v>-6879.59</v>
      </c>
      <c r="AM56" s="111"/>
      <c r="AN56" s="111"/>
      <c r="AO56" s="111"/>
      <c r="AP56" s="111">
        <f t="shared" si="11"/>
        <v>-6879.59</v>
      </c>
      <c r="AQ56" s="111"/>
      <c r="AR56" s="111">
        <f t="shared" si="12"/>
        <v>-6879.59</v>
      </c>
      <c r="AS56" s="111"/>
      <c r="AT56" s="111">
        <v>0</v>
      </c>
      <c r="AU56" s="111"/>
      <c r="AV56" s="111"/>
      <c r="AW56" s="111"/>
      <c r="AX56" s="111"/>
      <c r="AY56" s="111"/>
      <c r="AZ56" s="111"/>
      <c r="BA56" s="111">
        <f t="shared" si="13"/>
        <v>0</v>
      </c>
      <c r="BB56" s="111"/>
      <c r="BC56" s="111"/>
      <c r="BD56" s="111"/>
      <c r="BE56" s="111"/>
      <c r="BF56" s="111"/>
      <c r="BG56" s="111"/>
      <c r="BH56" s="111">
        <f t="shared" si="20"/>
        <v>0</v>
      </c>
      <c r="BI56" s="111"/>
      <c r="BJ56" s="227">
        <f>AC56/7.75/0.9/8*12*100</f>
        <v>-147948.17204301077</v>
      </c>
      <c r="BK56" s="134"/>
      <c r="BL56" s="134"/>
      <c r="BM56" s="135"/>
      <c r="BN56" s="135"/>
      <c r="BO56" s="135"/>
      <c r="BP56" s="135"/>
      <c r="BQ56" s="114">
        <f t="shared" si="14"/>
        <v>-147948.17204301077</v>
      </c>
      <c r="BR56" s="114">
        <f t="shared" si="15"/>
        <v>-169083.62519201229</v>
      </c>
      <c r="BS56" s="136"/>
      <c r="BT56" s="136"/>
      <c r="BU56" s="136"/>
      <c r="BV56" s="115">
        <f t="shared" si="16"/>
        <v>-197264.22939068099</v>
      </c>
      <c r="BW56" s="115"/>
      <c r="BX56" s="116">
        <f t="shared" si="17"/>
        <v>-305759.55555555556</v>
      </c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>
        <v>0</v>
      </c>
      <c r="CL56" s="116"/>
      <c r="CM56" s="199"/>
    </row>
    <row r="57" spans="1:92" s="118" customFormat="1" ht="25.5" x14ac:dyDescent="0.2">
      <c r="A57" s="98">
        <f t="shared" ref="A57:A60" si="26">A56+1</f>
        <v>29</v>
      </c>
      <c r="B57" s="99">
        <f t="shared" si="18"/>
        <v>49</v>
      </c>
      <c r="C57" s="100" t="s">
        <v>190</v>
      </c>
      <c r="D57" s="101" t="s">
        <v>191</v>
      </c>
      <c r="E57" s="100" t="s">
        <v>95</v>
      </c>
      <c r="F57" s="100" t="s">
        <v>96</v>
      </c>
      <c r="G57" s="103">
        <v>43525</v>
      </c>
      <c r="H57" s="173" t="s">
        <v>171</v>
      </c>
      <c r="I57" s="104">
        <v>2000000</v>
      </c>
      <c r="J57" s="105">
        <v>7.7499999999999999E-2</v>
      </c>
      <c r="K57" s="105">
        <v>7.4999999999999997E-2</v>
      </c>
      <c r="L57" s="106">
        <v>0.9</v>
      </c>
      <c r="M57" s="107">
        <v>9</v>
      </c>
      <c r="N57" s="107">
        <v>3</v>
      </c>
      <c r="O57" s="106">
        <v>12</v>
      </c>
      <c r="P57" s="107">
        <f t="shared" si="5"/>
        <v>104625</v>
      </c>
      <c r="Q57" s="107">
        <f t="shared" si="6"/>
        <v>1213312.131796638</v>
      </c>
      <c r="R57" s="107">
        <f t="shared" si="7"/>
        <v>63471.390894611628</v>
      </c>
      <c r="S57" s="107">
        <f t="shared" si="8"/>
        <v>41153.609105388372</v>
      </c>
      <c r="T57" s="108">
        <v>0.606656065898319</v>
      </c>
      <c r="U57" s="107"/>
      <c r="V57" s="106"/>
      <c r="W57" s="107">
        <f t="shared" si="3"/>
        <v>1213312.131796638</v>
      </c>
      <c r="X57" s="107">
        <f t="shared" si="3"/>
        <v>63471.390894611628</v>
      </c>
      <c r="Y57" s="109">
        <f t="shared" si="9"/>
        <v>1213312.131796638</v>
      </c>
      <c r="Z57" s="109">
        <f t="shared" si="9"/>
        <v>63471.390894611628</v>
      </c>
      <c r="AA57" s="110"/>
      <c r="AB57" s="110"/>
      <c r="AC57" s="109">
        <f t="shared" si="21"/>
        <v>63471.390894611628</v>
      </c>
      <c r="AD57" s="110">
        <v>1091980.9186169743</v>
      </c>
      <c r="AE57" s="110">
        <f t="shared" ref="AE57:AE136" si="27">AC57/J57/L57/9*O57</f>
        <v>1213312.131796638</v>
      </c>
      <c r="AF57" s="110"/>
      <c r="AG57" s="111"/>
      <c r="AH57" s="111"/>
      <c r="AI57" s="111"/>
      <c r="AJ57" s="111"/>
      <c r="AK57" s="111"/>
      <c r="AL57" s="111">
        <f t="shared" si="10"/>
        <v>63471.390894611628</v>
      </c>
      <c r="AM57" s="111"/>
      <c r="AN57" s="111"/>
      <c r="AO57" s="111"/>
      <c r="AP57" s="111">
        <f t="shared" si="11"/>
        <v>63471.390894611628</v>
      </c>
      <c r="AQ57" s="111"/>
      <c r="AR57" s="111">
        <f t="shared" si="12"/>
        <v>63471.390894611628</v>
      </c>
      <c r="AS57" s="111"/>
      <c r="AT57" s="111">
        <v>45000</v>
      </c>
      <c r="AU57" s="111">
        <f t="shared" ref="AU57:AU71" si="28">AR57-AT57</f>
        <v>18471.390894611628</v>
      </c>
      <c r="AV57" s="111"/>
      <c r="AW57" s="111"/>
      <c r="AX57" s="111"/>
      <c r="AY57" s="111">
        <v>45000</v>
      </c>
      <c r="AZ57" s="111"/>
      <c r="BA57" s="111">
        <f t="shared" si="13"/>
        <v>45000</v>
      </c>
      <c r="BB57" s="111"/>
      <c r="BC57" s="111"/>
      <c r="BD57" s="111"/>
      <c r="BE57" s="111"/>
      <c r="BF57" s="111"/>
      <c r="BG57" s="111"/>
      <c r="BH57" s="111">
        <f t="shared" si="20"/>
        <v>45000</v>
      </c>
      <c r="BI57" s="111">
        <v>0</v>
      </c>
      <c r="BJ57" s="112">
        <f t="shared" ref="BJ57:BJ63" si="29">AC57/J57/L57/8*O57</f>
        <v>1364976.1482712177</v>
      </c>
      <c r="BK57" s="112"/>
      <c r="BL57" s="112"/>
      <c r="BM57" s="113"/>
      <c r="BN57" s="113"/>
      <c r="BO57" s="113"/>
      <c r="BP57" s="113"/>
      <c r="BQ57" s="114">
        <f t="shared" si="14"/>
        <v>1364976.1482712177</v>
      </c>
      <c r="BR57" s="114">
        <f t="shared" si="15"/>
        <v>1559972.7408813918</v>
      </c>
      <c r="BS57" s="98"/>
      <c r="BT57" s="98"/>
      <c r="BU57" s="98"/>
      <c r="BV57" s="115">
        <f t="shared" si="16"/>
        <v>1819968.197694957</v>
      </c>
      <c r="BW57" s="115"/>
      <c r="BX57" s="116">
        <f t="shared" si="17"/>
        <v>2820950.7064271835</v>
      </c>
      <c r="BY57" s="116">
        <v>2000000</v>
      </c>
      <c r="BZ57" s="116"/>
      <c r="CA57" s="116"/>
      <c r="CB57" s="116"/>
      <c r="CC57" s="116"/>
      <c r="CD57" s="116">
        <v>2000000</v>
      </c>
      <c r="CE57" s="116"/>
      <c r="CF57" s="116"/>
      <c r="CG57" s="116"/>
      <c r="CH57" s="116"/>
      <c r="CI57" s="116"/>
      <c r="CJ57" s="116"/>
      <c r="CK57" s="116">
        <v>0</v>
      </c>
      <c r="CL57" s="116">
        <v>2000000</v>
      </c>
      <c r="CM57" s="117"/>
      <c r="CN57" s="118" t="s">
        <v>95</v>
      </c>
    </row>
    <row r="58" spans="1:92" s="2" customFormat="1" ht="25.5" x14ac:dyDescent="0.2">
      <c r="A58" s="161">
        <f t="shared" si="26"/>
        <v>30</v>
      </c>
      <c r="B58" s="145">
        <f t="shared" si="18"/>
        <v>50</v>
      </c>
      <c r="C58" s="148" t="s">
        <v>192</v>
      </c>
      <c r="D58" s="164" t="s">
        <v>193</v>
      </c>
      <c r="E58" s="148" t="s">
        <v>95</v>
      </c>
      <c r="F58" s="148" t="s">
        <v>96</v>
      </c>
      <c r="G58" s="149">
        <v>43497</v>
      </c>
      <c r="H58" s="149" t="s">
        <v>139</v>
      </c>
      <c r="I58" s="150">
        <v>10000000</v>
      </c>
      <c r="J58" s="151">
        <v>7.7499999999999999E-2</v>
      </c>
      <c r="K58" s="151">
        <v>7.2499999999999995E-2</v>
      </c>
      <c r="L58" s="152">
        <v>0.9</v>
      </c>
      <c r="M58" s="153">
        <v>10</v>
      </c>
      <c r="N58" s="153">
        <v>1</v>
      </c>
      <c r="O58" s="152">
        <v>12</v>
      </c>
      <c r="P58" s="153">
        <f t="shared" si="5"/>
        <v>581250</v>
      </c>
      <c r="Q58" s="153">
        <f t="shared" si="6"/>
        <v>6066560.6589831896</v>
      </c>
      <c r="R58" s="153">
        <f t="shared" si="7"/>
        <v>352618.83830339788</v>
      </c>
      <c r="S58" s="153">
        <f t="shared" si="8"/>
        <v>228631.16169660212</v>
      </c>
      <c r="T58" s="154">
        <v>0.606656065898319</v>
      </c>
      <c r="U58" s="153"/>
      <c r="V58" s="152"/>
      <c r="W58" s="153">
        <f t="shared" si="3"/>
        <v>6066560.6589831896</v>
      </c>
      <c r="X58" s="153">
        <f t="shared" si="3"/>
        <v>352618.83830339788</v>
      </c>
      <c r="Y58" s="155">
        <f t="shared" si="9"/>
        <v>6066560.6589831896</v>
      </c>
      <c r="Z58" s="155">
        <f t="shared" si="9"/>
        <v>352618.83830339788</v>
      </c>
      <c r="AA58" s="156"/>
      <c r="AB58" s="156"/>
      <c r="AC58" s="155">
        <f t="shared" si="21"/>
        <v>352618.83830339788</v>
      </c>
      <c r="AD58" s="156">
        <v>6066560.6589831896</v>
      </c>
      <c r="AE58" s="156">
        <f t="shared" si="27"/>
        <v>6740622.9544257652</v>
      </c>
      <c r="AF58" s="156"/>
      <c r="AG58" s="83"/>
      <c r="AH58" s="83"/>
      <c r="AI58" s="83"/>
      <c r="AJ58" s="83"/>
      <c r="AK58" s="83"/>
      <c r="AL58" s="83">
        <f t="shared" si="10"/>
        <v>352618.83830339788</v>
      </c>
      <c r="AM58" s="83"/>
      <c r="AN58" s="83"/>
      <c r="AO58" s="83"/>
      <c r="AP58" s="83">
        <f t="shared" si="11"/>
        <v>352618.83830339788</v>
      </c>
      <c r="AQ58" s="83"/>
      <c r="AR58" s="83">
        <f t="shared" si="12"/>
        <v>352618.83830339788</v>
      </c>
      <c r="AS58" s="83"/>
      <c r="AT58" s="83">
        <f>BY58*K58*L58*N58/O58</f>
        <v>54375</v>
      </c>
      <c r="AU58" s="83">
        <f t="shared" si="28"/>
        <v>298243.83830339788</v>
      </c>
      <c r="AV58" s="83"/>
      <c r="AW58" s="83"/>
      <c r="AX58" s="83"/>
      <c r="AY58" s="83">
        <v>56250</v>
      </c>
      <c r="AZ58" s="83"/>
      <c r="BA58" s="83">
        <f t="shared" si="13"/>
        <v>56250</v>
      </c>
      <c r="BB58" s="83"/>
      <c r="BC58" s="83"/>
      <c r="BD58" s="83"/>
      <c r="BE58" s="83"/>
      <c r="BF58" s="83"/>
      <c r="BG58" s="83"/>
      <c r="BH58" s="83">
        <f t="shared" si="20"/>
        <v>56250</v>
      </c>
      <c r="BI58" s="83">
        <f>CK58*K58*L58*N58/O58</f>
        <v>54375</v>
      </c>
      <c r="BJ58" s="159">
        <f t="shared" si="29"/>
        <v>7583200.8237289861</v>
      </c>
      <c r="BK58" s="159"/>
      <c r="BL58" s="159"/>
      <c r="BM58" s="89"/>
      <c r="BN58" s="89"/>
      <c r="BO58" s="89"/>
      <c r="BP58" s="89"/>
      <c r="BQ58" s="160">
        <f t="shared" si="14"/>
        <v>7583200.8237289861</v>
      </c>
      <c r="BR58" s="160">
        <f t="shared" si="15"/>
        <v>8666515.2271188423</v>
      </c>
      <c r="BS58" s="161"/>
      <c r="BT58" s="161"/>
      <c r="BU58" s="161"/>
      <c r="BV58" s="162">
        <f t="shared" si="16"/>
        <v>10110934.431638649</v>
      </c>
      <c r="BW58" s="162"/>
      <c r="BX58" s="95">
        <f t="shared" si="17"/>
        <v>16212360.381765421</v>
      </c>
      <c r="BY58" s="95">
        <v>10000000</v>
      </c>
      <c r="BZ58" s="95"/>
      <c r="CA58" s="95"/>
      <c r="CB58" s="95"/>
      <c r="CC58" s="95"/>
      <c r="CD58" s="95">
        <v>10000000</v>
      </c>
      <c r="CE58" s="95"/>
      <c r="CF58" s="95"/>
      <c r="CG58" s="95"/>
      <c r="CH58" s="95"/>
      <c r="CI58" s="95"/>
      <c r="CJ58" s="95"/>
      <c r="CK58" s="95">
        <v>10000000</v>
      </c>
      <c r="CL58" s="95">
        <v>10000000</v>
      </c>
      <c r="CM58" s="163"/>
      <c r="CN58" s="2" t="s">
        <v>95</v>
      </c>
    </row>
    <row r="59" spans="1:92" s="2" customFormat="1" ht="25.5" x14ac:dyDescent="0.2">
      <c r="A59" s="161">
        <f t="shared" si="26"/>
        <v>31</v>
      </c>
      <c r="B59" s="145">
        <f t="shared" si="18"/>
        <v>51</v>
      </c>
      <c r="C59" s="148" t="s">
        <v>194</v>
      </c>
      <c r="D59" s="164" t="s">
        <v>195</v>
      </c>
      <c r="E59" s="148" t="s">
        <v>95</v>
      </c>
      <c r="F59" s="148" t="s">
        <v>96</v>
      </c>
      <c r="G59" s="149">
        <v>43525</v>
      </c>
      <c r="H59" s="149" t="s">
        <v>148</v>
      </c>
      <c r="I59" s="150">
        <v>2000000</v>
      </c>
      <c r="J59" s="151">
        <v>7.7499999999999999E-2</v>
      </c>
      <c r="K59" s="151">
        <v>7.2499999999999995E-2</v>
      </c>
      <c r="L59" s="152">
        <v>0.9</v>
      </c>
      <c r="M59" s="153">
        <v>9</v>
      </c>
      <c r="N59" s="153">
        <v>2.5</v>
      </c>
      <c r="O59" s="152">
        <v>12</v>
      </c>
      <c r="P59" s="153">
        <f t="shared" si="5"/>
        <v>104625</v>
      </c>
      <c r="Q59" s="153">
        <f t="shared" si="6"/>
        <v>1213312.131796638</v>
      </c>
      <c r="R59" s="153">
        <f t="shared" si="7"/>
        <v>63471.390894611628</v>
      </c>
      <c r="S59" s="153">
        <f t="shared" si="8"/>
        <v>41153.609105388372</v>
      </c>
      <c r="T59" s="154">
        <v>0.606656065898319</v>
      </c>
      <c r="U59" s="153"/>
      <c r="V59" s="152"/>
      <c r="W59" s="153">
        <f t="shared" si="3"/>
        <v>1213312.131796638</v>
      </c>
      <c r="X59" s="153">
        <f t="shared" si="3"/>
        <v>63471.390894611628</v>
      </c>
      <c r="Y59" s="155">
        <f t="shared" si="9"/>
        <v>1213312.131796638</v>
      </c>
      <c r="Z59" s="155">
        <f t="shared" si="9"/>
        <v>63471.390894611628</v>
      </c>
      <c r="AA59" s="156"/>
      <c r="AB59" s="156"/>
      <c r="AC59" s="155">
        <f t="shared" si="21"/>
        <v>63471.390894611628</v>
      </c>
      <c r="AD59" s="156">
        <v>1091980.9186169743</v>
      </c>
      <c r="AE59" s="156">
        <f t="shared" si="27"/>
        <v>1213312.131796638</v>
      </c>
      <c r="AF59" s="156"/>
      <c r="AG59" s="83"/>
      <c r="AH59" s="83"/>
      <c r="AI59" s="83"/>
      <c r="AJ59" s="83"/>
      <c r="AK59" s="83"/>
      <c r="AL59" s="83">
        <f t="shared" si="10"/>
        <v>63471.390894611628</v>
      </c>
      <c r="AM59" s="83"/>
      <c r="AN59" s="83"/>
      <c r="AO59" s="83"/>
      <c r="AP59" s="83">
        <f t="shared" si="11"/>
        <v>63471.390894611628</v>
      </c>
      <c r="AQ59" s="83"/>
      <c r="AR59" s="83">
        <f t="shared" si="12"/>
        <v>63471.390894611628</v>
      </c>
      <c r="AS59" s="83"/>
      <c r="AT59" s="83">
        <v>22500</v>
      </c>
      <c r="AU59" s="83">
        <f t="shared" si="28"/>
        <v>40971.390894611628</v>
      </c>
      <c r="AV59" s="83">
        <v>22500</v>
      </c>
      <c r="AW59" s="83"/>
      <c r="AX59" s="83"/>
      <c r="AY59" s="83">
        <v>0</v>
      </c>
      <c r="AZ59" s="83"/>
      <c r="BA59" s="83">
        <f t="shared" si="13"/>
        <v>0</v>
      </c>
      <c r="BB59" s="83"/>
      <c r="BC59" s="83"/>
      <c r="BD59" s="83"/>
      <c r="BE59" s="83"/>
      <c r="BF59" s="83"/>
      <c r="BG59" s="83"/>
      <c r="BH59" s="83">
        <f t="shared" si="20"/>
        <v>0</v>
      </c>
      <c r="BI59" s="83">
        <f>CK59*K59*L59*N59/O59</f>
        <v>13593.75</v>
      </c>
      <c r="BJ59" s="159">
        <f t="shared" si="29"/>
        <v>1364976.1482712177</v>
      </c>
      <c r="BK59" s="159"/>
      <c r="BL59" s="159"/>
      <c r="BM59" s="89"/>
      <c r="BN59" s="89"/>
      <c r="BO59" s="89"/>
      <c r="BP59" s="89"/>
      <c r="BQ59" s="160">
        <f t="shared" si="14"/>
        <v>1364976.1482712177</v>
      </c>
      <c r="BR59" s="160">
        <f t="shared" si="15"/>
        <v>1559972.7408813918</v>
      </c>
      <c r="BS59" s="161"/>
      <c r="BT59" s="161"/>
      <c r="BU59" s="161"/>
      <c r="BV59" s="162">
        <f t="shared" si="16"/>
        <v>1819968.197694957</v>
      </c>
      <c r="BW59" s="162"/>
      <c r="BX59" s="95">
        <f t="shared" si="17"/>
        <v>2918224.8687177761</v>
      </c>
      <c r="BY59" s="95">
        <v>1000000</v>
      </c>
      <c r="BZ59" s="95">
        <v>1000000</v>
      </c>
      <c r="CA59" s="95"/>
      <c r="CB59" s="95"/>
      <c r="CC59" s="95"/>
      <c r="CD59" s="95">
        <v>0</v>
      </c>
      <c r="CE59" s="95"/>
      <c r="CF59" s="95"/>
      <c r="CG59" s="95"/>
      <c r="CH59" s="95"/>
      <c r="CI59" s="95"/>
      <c r="CJ59" s="95"/>
      <c r="CK59" s="95">
        <v>1000000</v>
      </c>
      <c r="CL59" s="95">
        <v>2000000</v>
      </c>
      <c r="CM59" s="163"/>
      <c r="CN59" s="2" t="s">
        <v>95</v>
      </c>
    </row>
    <row r="60" spans="1:92" s="196" customFormat="1" ht="25.5" x14ac:dyDescent="0.2">
      <c r="A60" s="98">
        <f t="shared" si="26"/>
        <v>32</v>
      </c>
      <c r="B60" s="99">
        <f t="shared" si="18"/>
        <v>52</v>
      </c>
      <c r="C60" s="122" t="s">
        <v>197</v>
      </c>
      <c r="D60" s="123" t="s">
        <v>198</v>
      </c>
      <c r="E60" s="122" t="s">
        <v>161</v>
      </c>
      <c r="F60" s="100" t="s">
        <v>134</v>
      </c>
      <c r="G60" s="124">
        <v>43497</v>
      </c>
      <c r="H60" s="124">
        <v>43497</v>
      </c>
      <c r="I60" s="125">
        <v>10000000</v>
      </c>
      <c r="J60" s="197">
        <v>7.7499999999999999E-2</v>
      </c>
      <c r="K60" s="76">
        <v>7.4999999999999997E-2</v>
      </c>
      <c r="L60" s="175">
        <v>0.9</v>
      </c>
      <c r="M60" s="176">
        <v>10</v>
      </c>
      <c r="N60" s="176"/>
      <c r="O60" s="175">
        <v>12</v>
      </c>
      <c r="P60" s="128">
        <f t="shared" si="5"/>
        <v>581250</v>
      </c>
      <c r="Q60" s="176">
        <f t="shared" si="6"/>
        <v>6066560.6589831896</v>
      </c>
      <c r="R60" s="128">
        <f t="shared" si="7"/>
        <v>352618.83830339788</v>
      </c>
      <c r="S60" s="128">
        <f t="shared" si="8"/>
        <v>228631.16169660212</v>
      </c>
      <c r="T60" s="129">
        <v>0.606656065898319</v>
      </c>
      <c r="U60" s="176"/>
      <c r="V60" s="127"/>
      <c r="W60" s="128">
        <f t="shared" si="3"/>
        <v>6066560.6589831896</v>
      </c>
      <c r="X60" s="128">
        <f t="shared" si="3"/>
        <v>352618.83830339788</v>
      </c>
      <c r="Y60" s="130">
        <f t="shared" si="9"/>
        <v>6066560.6589831896</v>
      </c>
      <c r="Z60" s="130">
        <f t="shared" si="9"/>
        <v>352618.83830339788</v>
      </c>
      <c r="AA60" s="131">
        <f>1332893.84-AA61-AA62-AA63-AA64</f>
        <v>352618.84000000008</v>
      </c>
      <c r="AB60" s="131"/>
      <c r="AC60" s="130">
        <f t="shared" si="21"/>
        <v>-1.6966022085398436E-3</v>
      </c>
      <c r="AD60" s="131">
        <v>8366083.6244075373</v>
      </c>
      <c r="AE60" s="131">
        <f t="shared" si="27"/>
        <v>-3.2432061334094979E-2</v>
      </c>
      <c r="AF60" s="131"/>
      <c r="AG60" s="132"/>
      <c r="AH60" s="132"/>
      <c r="AI60" s="132"/>
      <c r="AJ60" s="132"/>
      <c r="AK60" s="132"/>
      <c r="AL60" s="111">
        <f t="shared" si="10"/>
        <v>-1.6966022085398436E-3</v>
      </c>
      <c r="AM60" s="111"/>
      <c r="AN60" s="111"/>
      <c r="AO60" s="111"/>
      <c r="AP60" s="111">
        <f t="shared" si="11"/>
        <v>-1.6966022085398436E-3</v>
      </c>
      <c r="AQ60" s="111"/>
      <c r="AR60" s="111">
        <f t="shared" si="12"/>
        <v>-1.6966022085398436E-3</v>
      </c>
      <c r="AS60" s="111"/>
      <c r="AT60" s="111">
        <v>0</v>
      </c>
      <c r="AU60" s="111">
        <f t="shared" si="28"/>
        <v>-1.6966022085398436E-3</v>
      </c>
      <c r="AV60" s="111"/>
      <c r="AW60" s="111"/>
      <c r="AX60" s="111"/>
      <c r="AY60" s="111"/>
      <c r="AZ60" s="111"/>
      <c r="BA60" s="111">
        <f t="shared" si="13"/>
        <v>0</v>
      </c>
      <c r="BB60" s="111"/>
      <c r="BC60" s="111"/>
      <c r="BD60" s="111"/>
      <c r="BE60" s="111"/>
      <c r="BF60" s="111"/>
      <c r="BG60" s="111"/>
      <c r="BH60" s="111">
        <f t="shared" si="20"/>
        <v>0</v>
      </c>
      <c r="BI60" s="111"/>
      <c r="BJ60" s="133">
        <f t="shared" si="29"/>
        <v>-3.6486069000856852E-2</v>
      </c>
      <c r="BK60" s="134"/>
      <c r="BL60" s="134"/>
      <c r="BM60" s="135"/>
      <c r="BN60" s="135"/>
      <c r="BO60" s="135"/>
      <c r="BP60" s="135"/>
      <c r="BQ60" s="114">
        <f t="shared" si="14"/>
        <v>-3.6486069000856852E-2</v>
      </c>
      <c r="BR60" s="114">
        <f t="shared" si="15"/>
        <v>-4.1698364572407831E-2</v>
      </c>
      <c r="BS60" s="136"/>
      <c r="BT60" s="136"/>
      <c r="BU60" s="136"/>
      <c r="BV60" s="115">
        <f t="shared" si="16"/>
        <v>-4.8648092001142465E-2</v>
      </c>
      <c r="BW60" s="115"/>
      <c r="BX60" s="116">
        <f t="shared" si="17"/>
        <v>-7.5404542601770819E-2</v>
      </c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>
        <v>0</v>
      </c>
      <c r="CL60" s="93"/>
      <c r="CM60" s="199"/>
    </row>
    <row r="61" spans="1:92" s="196" customFormat="1" ht="25.5" x14ac:dyDescent="0.2">
      <c r="B61" s="99">
        <f t="shared" si="18"/>
        <v>53</v>
      </c>
      <c r="C61" s="122" t="s">
        <v>197</v>
      </c>
      <c r="D61" s="123" t="s">
        <v>198</v>
      </c>
      <c r="E61" s="122" t="s">
        <v>161</v>
      </c>
      <c r="F61" s="100" t="s">
        <v>134</v>
      </c>
      <c r="G61" s="124">
        <v>43525</v>
      </c>
      <c r="H61" s="124">
        <v>43525</v>
      </c>
      <c r="I61" s="125">
        <v>10000000</v>
      </c>
      <c r="J61" s="197">
        <v>7.7499999999999999E-2</v>
      </c>
      <c r="K61" s="76">
        <v>7.4999999999999997E-2</v>
      </c>
      <c r="L61" s="175">
        <v>0.9</v>
      </c>
      <c r="M61" s="176">
        <v>9</v>
      </c>
      <c r="N61" s="176"/>
      <c r="O61" s="175">
        <v>12</v>
      </c>
      <c r="P61" s="128">
        <f t="shared" si="5"/>
        <v>523125</v>
      </c>
      <c r="Q61" s="176">
        <f t="shared" si="6"/>
        <v>6066560.6589831896</v>
      </c>
      <c r="R61" s="128">
        <f t="shared" si="7"/>
        <v>317356.95447305811</v>
      </c>
      <c r="S61" s="128">
        <f t="shared" si="8"/>
        <v>205768.04552694189</v>
      </c>
      <c r="T61" s="129">
        <v>0.606656065898319</v>
      </c>
      <c r="U61" s="176"/>
      <c r="V61" s="127"/>
      <c r="W61" s="128">
        <f t="shared" si="3"/>
        <v>6066560.6589831896</v>
      </c>
      <c r="X61" s="128">
        <f t="shared" si="3"/>
        <v>317356.95447305811</v>
      </c>
      <c r="Y61" s="130">
        <f t="shared" si="9"/>
        <v>6066560.6589831896</v>
      </c>
      <c r="Z61" s="130">
        <f t="shared" si="9"/>
        <v>317356.95447305811</v>
      </c>
      <c r="AA61" s="138">
        <v>317356.95</v>
      </c>
      <c r="AB61" s="138"/>
      <c r="AC61" s="130">
        <f t="shared" si="21"/>
        <v>4.4730580993928015E-3</v>
      </c>
      <c r="AD61" s="131">
        <v>0</v>
      </c>
      <c r="AE61" s="131">
        <f t="shared" si="27"/>
        <v>8.5506486965692741E-2</v>
      </c>
      <c r="AF61" s="131"/>
      <c r="AG61" s="132"/>
      <c r="AH61" s="132"/>
      <c r="AI61" s="132"/>
      <c r="AJ61" s="132"/>
      <c r="AK61" s="132"/>
      <c r="AL61" s="111">
        <f t="shared" si="10"/>
        <v>4.4730580993928015E-3</v>
      </c>
      <c r="AM61" s="111"/>
      <c r="AN61" s="111"/>
      <c r="AO61" s="111"/>
      <c r="AP61" s="111">
        <f t="shared" si="11"/>
        <v>4.4730580993928015E-3</v>
      </c>
      <c r="AQ61" s="111"/>
      <c r="AR61" s="111">
        <f t="shared" si="12"/>
        <v>4.4730580993928015E-3</v>
      </c>
      <c r="AS61" s="111"/>
      <c r="AT61" s="111">
        <v>0</v>
      </c>
      <c r="AU61" s="111">
        <f t="shared" si="28"/>
        <v>4.4730580993928015E-3</v>
      </c>
      <c r="AV61" s="111"/>
      <c r="AW61" s="111"/>
      <c r="AX61" s="111"/>
      <c r="AY61" s="111"/>
      <c r="AZ61" s="111"/>
      <c r="BA61" s="111">
        <f t="shared" si="13"/>
        <v>0</v>
      </c>
      <c r="BB61" s="111"/>
      <c r="BC61" s="111"/>
      <c r="BD61" s="111"/>
      <c r="BE61" s="111"/>
      <c r="BF61" s="111"/>
      <c r="BG61" s="111"/>
      <c r="BH61" s="111">
        <f t="shared" si="20"/>
        <v>0</v>
      </c>
      <c r="BI61" s="111"/>
      <c r="BJ61" s="112">
        <f t="shared" si="29"/>
        <v>9.6194797836404333E-2</v>
      </c>
      <c r="BK61" s="134"/>
      <c r="BL61" s="134"/>
      <c r="BM61" s="135"/>
      <c r="BN61" s="135"/>
      <c r="BO61" s="135"/>
      <c r="BP61" s="135"/>
      <c r="BQ61" s="114">
        <f t="shared" si="14"/>
        <v>9.6194797836404333E-2</v>
      </c>
      <c r="BR61" s="114">
        <f t="shared" si="15"/>
        <v>0.10993691181303353</v>
      </c>
      <c r="BS61" s="136"/>
      <c r="BT61" s="136"/>
      <c r="BU61" s="136"/>
      <c r="BV61" s="115">
        <f t="shared" si="16"/>
        <v>0.12825973044853911</v>
      </c>
      <c r="BW61" s="115"/>
      <c r="BX61" s="116">
        <f t="shared" si="17"/>
        <v>0.19880258219523564</v>
      </c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>
        <v>0</v>
      </c>
      <c r="CL61" s="93"/>
      <c r="CM61" s="199"/>
    </row>
    <row r="62" spans="1:92" s="196" customFormat="1" ht="25.5" x14ac:dyDescent="0.2">
      <c r="B62" s="99">
        <f t="shared" si="18"/>
        <v>54</v>
      </c>
      <c r="C62" s="122" t="s">
        <v>199</v>
      </c>
      <c r="D62" s="123" t="s">
        <v>198</v>
      </c>
      <c r="E62" s="122" t="s">
        <v>161</v>
      </c>
      <c r="F62" s="100" t="s">
        <v>134</v>
      </c>
      <c r="G62" s="124">
        <v>43556</v>
      </c>
      <c r="H62" s="124">
        <v>43556</v>
      </c>
      <c r="I62" s="125">
        <v>10000000</v>
      </c>
      <c r="J62" s="197">
        <v>7.7499999999999999E-2</v>
      </c>
      <c r="K62" s="76">
        <v>7.4999999999999997E-2</v>
      </c>
      <c r="L62" s="175">
        <v>0.9</v>
      </c>
      <c r="M62" s="176">
        <v>8</v>
      </c>
      <c r="N62" s="176"/>
      <c r="O62" s="175">
        <v>12</v>
      </c>
      <c r="P62" s="128">
        <f t="shared" si="5"/>
        <v>465000</v>
      </c>
      <c r="Q62" s="176">
        <f t="shared" si="6"/>
        <v>6066560.6589831896</v>
      </c>
      <c r="R62" s="128">
        <f t="shared" si="7"/>
        <v>282095.07064271829</v>
      </c>
      <c r="S62" s="128">
        <f t="shared" si="8"/>
        <v>182904.92935728171</v>
      </c>
      <c r="T62" s="129">
        <v>0.606656065898319</v>
      </c>
      <c r="U62" s="176"/>
      <c r="V62" s="127"/>
      <c r="W62" s="128">
        <f t="shared" si="3"/>
        <v>6066560.6589831896</v>
      </c>
      <c r="X62" s="128">
        <f t="shared" si="3"/>
        <v>282095.07064271829</v>
      </c>
      <c r="Y62" s="130">
        <f t="shared" si="9"/>
        <v>6066560.6589831896</v>
      </c>
      <c r="Z62" s="130">
        <f t="shared" si="9"/>
        <v>282095.07064271829</v>
      </c>
      <c r="AA62" s="138">
        <v>282095.07</v>
      </c>
      <c r="AB62" s="138"/>
      <c r="AC62" s="130">
        <f t="shared" si="21"/>
        <v>6.4271828159689903E-4</v>
      </c>
      <c r="AD62" s="131">
        <v>0</v>
      </c>
      <c r="AE62" s="131">
        <f t="shared" si="27"/>
        <v>1.2286132025747173E-2</v>
      </c>
      <c r="AF62" s="131"/>
      <c r="AG62" s="132"/>
      <c r="AH62" s="132"/>
      <c r="AI62" s="132"/>
      <c r="AJ62" s="132"/>
      <c r="AK62" s="132"/>
      <c r="AL62" s="111">
        <f t="shared" si="10"/>
        <v>6.4271828159689903E-4</v>
      </c>
      <c r="AM62" s="111"/>
      <c r="AN62" s="111"/>
      <c r="AO62" s="111"/>
      <c r="AP62" s="111">
        <f t="shared" si="11"/>
        <v>6.4271828159689903E-4</v>
      </c>
      <c r="AQ62" s="111"/>
      <c r="AR62" s="111">
        <f t="shared" si="12"/>
        <v>6.4271828159689903E-4</v>
      </c>
      <c r="AS62" s="111"/>
      <c r="AT62" s="111">
        <v>0</v>
      </c>
      <c r="AU62" s="111">
        <f t="shared" si="28"/>
        <v>6.4271828159689903E-4</v>
      </c>
      <c r="AV62" s="111"/>
      <c r="AW62" s="111"/>
      <c r="AX62" s="111"/>
      <c r="AY62" s="111"/>
      <c r="AZ62" s="111"/>
      <c r="BA62" s="111">
        <f t="shared" si="13"/>
        <v>0</v>
      </c>
      <c r="BB62" s="111"/>
      <c r="BC62" s="111"/>
      <c r="BD62" s="111"/>
      <c r="BE62" s="111"/>
      <c r="BF62" s="111"/>
      <c r="BG62" s="111"/>
      <c r="BH62" s="111">
        <f t="shared" si="20"/>
        <v>0</v>
      </c>
      <c r="BI62" s="111"/>
      <c r="BJ62" s="112">
        <f t="shared" si="29"/>
        <v>1.382189852896557E-2</v>
      </c>
      <c r="BK62" s="134"/>
      <c r="BL62" s="134"/>
      <c r="BM62" s="135"/>
      <c r="BN62" s="135"/>
      <c r="BO62" s="135"/>
      <c r="BP62" s="135"/>
      <c r="BQ62" s="114">
        <f t="shared" si="14"/>
        <v>1.382189852896557E-2</v>
      </c>
      <c r="BR62" s="114">
        <f t="shared" si="15"/>
        <v>1.5796455461674935E-2</v>
      </c>
      <c r="BS62" s="136"/>
      <c r="BT62" s="136"/>
      <c r="BU62" s="136"/>
      <c r="BV62" s="115">
        <f t="shared" si="16"/>
        <v>1.842919803862076E-2</v>
      </c>
      <c r="BW62" s="115"/>
      <c r="BX62" s="116">
        <f t="shared" si="17"/>
        <v>2.856525695986218E-2</v>
      </c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>
        <v>0</v>
      </c>
      <c r="CL62" s="93"/>
      <c r="CM62" s="199"/>
    </row>
    <row r="63" spans="1:92" s="196" customFormat="1" ht="25.5" x14ac:dyDescent="0.2">
      <c r="B63" s="99">
        <f t="shared" si="18"/>
        <v>55</v>
      </c>
      <c r="C63" s="122" t="s">
        <v>199</v>
      </c>
      <c r="D63" s="123" t="s">
        <v>198</v>
      </c>
      <c r="E63" s="122" t="s">
        <v>161</v>
      </c>
      <c r="F63" s="100" t="s">
        <v>134</v>
      </c>
      <c r="G63" s="124">
        <v>43586</v>
      </c>
      <c r="H63" s="124">
        <v>43586</v>
      </c>
      <c r="I63" s="125">
        <v>10000000</v>
      </c>
      <c r="J63" s="197">
        <v>7.7499999999999999E-2</v>
      </c>
      <c r="K63" s="76">
        <v>7.4999999999999997E-2</v>
      </c>
      <c r="L63" s="175">
        <v>0.9</v>
      </c>
      <c r="M63" s="176">
        <v>7</v>
      </c>
      <c r="N63" s="176"/>
      <c r="O63" s="175">
        <v>12</v>
      </c>
      <c r="P63" s="128">
        <f t="shared" si="5"/>
        <v>406875</v>
      </c>
      <c r="Q63" s="176">
        <f t="shared" si="6"/>
        <v>6066560.6589831896</v>
      </c>
      <c r="R63" s="128">
        <f t="shared" si="7"/>
        <v>246833.1868123785</v>
      </c>
      <c r="S63" s="128">
        <f t="shared" si="8"/>
        <v>160041.8131876215</v>
      </c>
      <c r="T63" s="129">
        <v>0.606656065898319</v>
      </c>
      <c r="U63" s="176"/>
      <c r="V63" s="127"/>
      <c r="W63" s="128">
        <f t="shared" si="3"/>
        <v>6066560.6589831896</v>
      </c>
      <c r="X63" s="128">
        <f t="shared" si="3"/>
        <v>246833.1868123785</v>
      </c>
      <c r="Y63" s="130">
        <f t="shared" si="9"/>
        <v>6066560.6589831896</v>
      </c>
      <c r="Z63" s="130">
        <f t="shared" si="9"/>
        <v>246833.1868123785</v>
      </c>
      <c r="AA63" s="138">
        <v>246833.19</v>
      </c>
      <c r="AB63" s="138"/>
      <c r="AC63" s="130">
        <f t="shared" si="21"/>
        <v>-3.187621507095173E-3</v>
      </c>
      <c r="AD63" s="131">
        <v>0</v>
      </c>
      <c r="AE63" s="131">
        <f t="shared" si="27"/>
        <v>-6.0934222357852771E-2</v>
      </c>
      <c r="AF63" s="131"/>
      <c r="AG63" s="132"/>
      <c r="AH63" s="132"/>
      <c r="AI63" s="132"/>
      <c r="AJ63" s="132"/>
      <c r="AK63" s="132"/>
      <c r="AL63" s="111">
        <f t="shared" si="10"/>
        <v>-3.187621507095173E-3</v>
      </c>
      <c r="AM63" s="111"/>
      <c r="AN63" s="111"/>
      <c r="AO63" s="111"/>
      <c r="AP63" s="111">
        <f t="shared" si="11"/>
        <v>-3.187621507095173E-3</v>
      </c>
      <c r="AQ63" s="111"/>
      <c r="AR63" s="111">
        <f t="shared" si="12"/>
        <v>-3.187621507095173E-3</v>
      </c>
      <c r="AS63" s="111"/>
      <c r="AT63" s="111">
        <v>0</v>
      </c>
      <c r="AU63" s="111">
        <f t="shared" si="28"/>
        <v>-3.187621507095173E-3</v>
      </c>
      <c r="AV63" s="111"/>
      <c r="AW63" s="111"/>
      <c r="AX63" s="111"/>
      <c r="AY63" s="111"/>
      <c r="AZ63" s="111"/>
      <c r="BA63" s="111">
        <f t="shared" si="13"/>
        <v>0</v>
      </c>
      <c r="BB63" s="111"/>
      <c r="BC63" s="111"/>
      <c r="BD63" s="111"/>
      <c r="BE63" s="111"/>
      <c r="BF63" s="111"/>
      <c r="BG63" s="111"/>
      <c r="BH63" s="111">
        <f t="shared" si="20"/>
        <v>0</v>
      </c>
      <c r="BI63" s="111"/>
      <c r="BJ63" s="133">
        <f t="shared" si="29"/>
        <v>-6.8551000152584363E-2</v>
      </c>
      <c r="BK63" s="134"/>
      <c r="BL63" s="134"/>
      <c r="BM63" s="135"/>
      <c r="BN63" s="135"/>
      <c r="BO63" s="135"/>
      <c r="BP63" s="135"/>
      <c r="BQ63" s="114">
        <f t="shared" si="14"/>
        <v>-6.8551000152584363E-2</v>
      </c>
      <c r="BR63" s="114">
        <f t="shared" si="15"/>
        <v>-7.8344000174382131E-2</v>
      </c>
      <c r="BS63" s="136"/>
      <c r="BT63" s="136"/>
      <c r="BU63" s="136"/>
      <c r="BV63" s="115">
        <f t="shared" si="16"/>
        <v>-9.140133353677915E-2</v>
      </c>
      <c r="BW63" s="115"/>
      <c r="BX63" s="116">
        <f t="shared" si="17"/>
        <v>-0.14167206698200768</v>
      </c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>
        <v>0</v>
      </c>
      <c r="CL63" s="93"/>
      <c r="CM63" s="199"/>
    </row>
    <row r="64" spans="1:92" ht="25.5" x14ac:dyDescent="0.2">
      <c r="B64" s="99">
        <f t="shared" si="18"/>
        <v>56</v>
      </c>
      <c r="C64" s="179" t="s">
        <v>199</v>
      </c>
      <c r="D64" s="180" t="s">
        <v>198</v>
      </c>
      <c r="E64" s="179" t="s">
        <v>161</v>
      </c>
      <c r="F64" s="179" t="s">
        <v>134</v>
      </c>
      <c r="G64" s="173">
        <v>43617</v>
      </c>
      <c r="H64" s="173">
        <v>43617</v>
      </c>
      <c r="I64" s="181">
        <v>10000000</v>
      </c>
      <c r="J64" s="182">
        <v>7.7499999999999999E-2</v>
      </c>
      <c r="K64" s="76">
        <v>7.4999999999999997E-2</v>
      </c>
      <c r="L64" s="183">
        <v>0.9</v>
      </c>
      <c r="M64" s="184">
        <v>6</v>
      </c>
      <c r="N64" s="184"/>
      <c r="O64" s="183">
        <v>12</v>
      </c>
      <c r="P64" s="184">
        <f t="shared" si="5"/>
        <v>348750</v>
      </c>
      <c r="Q64" s="184">
        <f t="shared" si="6"/>
        <v>6066560.6589831896</v>
      </c>
      <c r="R64" s="184">
        <f t="shared" si="7"/>
        <v>211571.30298203873</v>
      </c>
      <c r="S64" s="184">
        <f t="shared" si="8"/>
        <v>137178.69701796127</v>
      </c>
      <c r="T64" s="185">
        <v>0.606656065898319</v>
      </c>
      <c r="U64" s="184"/>
      <c r="V64" s="183"/>
      <c r="W64" s="184">
        <f t="shared" si="3"/>
        <v>6066560.6589831896</v>
      </c>
      <c r="X64" s="184">
        <f t="shared" si="3"/>
        <v>211571.30298203873</v>
      </c>
      <c r="Y64" s="186">
        <f t="shared" si="9"/>
        <v>6066560.6589831896</v>
      </c>
      <c r="Z64" s="186">
        <f t="shared" si="9"/>
        <v>211571.30298203873</v>
      </c>
      <c r="AA64" s="228">
        <f>211571.3-77581.51</f>
        <v>133989.78999999998</v>
      </c>
      <c r="AB64" s="228"/>
      <c r="AC64" s="186">
        <f t="shared" si="21"/>
        <v>77581.512982038752</v>
      </c>
      <c r="AD64" s="187">
        <v>0</v>
      </c>
      <c r="AE64" s="187">
        <f t="shared" si="27"/>
        <v>1483039.6746865236</v>
      </c>
      <c r="AF64" s="187"/>
      <c r="AG64" s="188"/>
      <c r="AH64" s="188"/>
      <c r="AI64" s="188"/>
      <c r="AJ64" s="188"/>
      <c r="AK64" s="188">
        <v>77581.509999999995</v>
      </c>
      <c r="AL64" s="188">
        <f t="shared" si="10"/>
        <v>2.9820387571817264E-3</v>
      </c>
      <c r="AM64" s="188"/>
      <c r="AN64" s="188"/>
      <c r="AO64" s="188"/>
      <c r="AP64" s="111">
        <f t="shared" si="11"/>
        <v>2.9820387571817264E-3</v>
      </c>
      <c r="AQ64" s="111"/>
      <c r="AR64" s="111">
        <f t="shared" si="12"/>
        <v>2.9820387571817264E-3</v>
      </c>
      <c r="AS64" s="111"/>
      <c r="AT64" s="111">
        <v>0</v>
      </c>
      <c r="AU64" s="111">
        <f t="shared" si="28"/>
        <v>2.9820387571817264E-3</v>
      </c>
      <c r="AV64" s="111"/>
      <c r="AW64" s="111"/>
      <c r="AX64" s="111"/>
      <c r="AY64" s="111"/>
      <c r="AZ64" s="111"/>
      <c r="BA64" s="111">
        <f t="shared" si="13"/>
        <v>0</v>
      </c>
      <c r="BB64" s="111"/>
      <c r="BC64" s="111"/>
      <c r="BD64" s="111"/>
      <c r="BE64" s="111"/>
      <c r="BF64" s="111"/>
      <c r="BG64" s="111"/>
      <c r="BH64" s="111">
        <f t="shared" si="20"/>
        <v>0</v>
      </c>
      <c r="BI64" s="111"/>
      <c r="BJ64" s="189">
        <f>AC64/J64/L64/7*O64</f>
        <v>1906765.2960255304</v>
      </c>
      <c r="BK64" s="189"/>
      <c r="BL64" s="189"/>
      <c r="BM64" s="190"/>
      <c r="BN64" s="190"/>
      <c r="BO64" s="190"/>
      <c r="BP64" s="189">
        <f>AK64/J64/L64/6.28*12</f>
        <v>2125375.2482706658</v>
      </c>
      <c r="BQ64" s="191">
        <f t="shared" si="14"/>
        <v>-218609.95224513533</v>
      </c>
      <c r="BR64" s="114">
        <f t="shared" si="15"/>
        <v>7.3291275138106945E-2</v>
      </c>
      <c r="BS64" s="98"/>
      <c r="BT64" s="98"/>
      <c r="BU64" s="98"/>
      <c r="BV64" s="115">
        <f t="shared" si="16"/>
        <v>8.5506487661124772E-2</v>
      </c>
      <c r="BW64" s="115"/>
      <c r="BX64" s="116">
        <f t="shared" si="17"/>
        <v>0.1325350558747434</v>
      </c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>
        <v>0</v>
      </c>
      <c r="CL64" s="93"/>
      <c r="CM64" s="230"/>
    </row>
    <row r="65" spans="1:92" ht="25.5" x14ac:dyDescent="0.2">
      <c r="B65" s="99">
        <f t="shared" si="18"/>
        <v>57</v>
      </c>
      <c r="C65" s="179" t="s">
        <v>199</v>
      </c>
      <c r="D65" s="180" t="s">
        <v>198</v>
      </c>
      <c r="E65" s="179" t="s">
        <v>161</v>
      </c>
      <c r="F65" s="179" t="s">
        <v>134</v>
      </c>
      <c r="G65" s="173">
        <v>43647</v>
      </c>
      <c r="H65" s="173">
        <v>43647</v>
      </c>
      <c r="I65" s="181">
        <v>10000000</v>
      </c>
      <c r="J65" s="182">
        <v>7.7499999999999999E-2</v>
      </c>
      <c r="K65" s="76">
        <v>7.4999999999999997E-2</v>
      </c>
      <c r="L65" s="183">
        <v>0.9</v>
      </c>
      <c r="M65" s="184">
        <v>5</v>
      </c>
      <c r="N65" s="184"/>
      <c r="O65" s="183">
        <v>12</v>
      </c>
      <c r="P65" s="184">
        <f t="shared" si="5"/>
        <v>290625</v>
      </c>
      <c r="Q65" s="184">
        <f t="shared" si="6"/>
        <v>6066560.6589831896</v>
      </c>
      <c r="R65" s="184">
        <f t="shared" si="7"/>
        <v>176309.41915169894</v>
      </c>
      <c r="S65" s="184">
        <f t="shared" si="8"/>
        <v>114315.58084830106</v>
      </c>
      <c r="T65" s="185">
        <v>0.606656065898319</v>
      </c>
      <c r="U65" s="184"/>
      <c r="V65" s="183"/>
      <c r="W65" s="184">
        <f t="shared" si="3"/>
        <v>6066560.6589831896</v>
      </c>
      <c r="X65" s="184">
        <f t="shared" si="3"/>
        <v>176309.41915169894</v>
      </c>
      <c r="Y65" s="186">
        <f t="shared" si="9"/>
        <v>6066560.6589831896</v>
      </c>
      <c r="Z65" s="186">
        <f t="shared" si="9"/>
        <v>176309.41915169894</v>
      </c>
      <c r="AA65" s="228"/>
      <c r="AB65" s="228"/>
      <c r="AC65" s="186">
        <f t="shared" si="21"/>
        <v>176309.41915169894</v>
      </c>
      <c r="AD65" s="187">
        <v>0</v>
      </c>
      <c r="AE65" s="187">
        <f t="shared" si="27"/>
        <v>3370311.4772128826</v>
      </c>
      <c r="AF65" s="187"/>
      <c r="AG65" s="188"/>
      <c r="AH65" s="188"/>
      <c r="AI65" s="188"/>
      <c r="AJ65" s="188"/>
      <c r="AK65" s="188">
        <v>176309.42</v>
      </c>
      <c r="AL65" s="188">
        <f t="shared" si="10"/>
        <v>-8.4830107516609132E-4</v>
      </c>
      <c r="AM65" s="188"/>
      <c r="AN65" s="188"/>
      <c r="AO65" s="188"/>
      <c r="AP65" s="111">
        <f t="shared" si="11"/>
        <v>-8.4830107516609132E-4</v>
      </c>
      <c r="AQ65" s="111"/>
      <c r="AR65" s="111">
        <f t="shared" si="12"/>
        <v>-8.4830107516609132E-4</v>
      </c>
      <c r="AS65" s="111"/>
      <c r="AT65" s="111">
        <v>0</v>
      </c>
      <c r="AU65" s="111">
        <f t="shared" si="28"/>
        <v>-8.4830107516609132E-4</v>
      </c>
      <c r="AV65" s="111"/>
      <c r="AW65" s="111"/>
      <c r="AX65" s="111"/>
      <c r="AY65" s="111"/>
      <c r="AZ65" s="111"/>
      <c r="BA65" s="111">
        <f t="shared" si="13"/>
        <v>0</v>
      </c>
      <c r="BB65" s="111"/>
      <c r="BC65" s="111"/>
      <c r="BD65" s="111"/>
      <c r="BE65" s="111"/>
      <c r="BF65" s="111"/>
      <c r="BG65" s="111"/>
      <c r="BH65" s="111">
        <f t="shared" si="20"/>
        <v>0</v>
      </c>
      <c r="BI65" s="111"/>
      <c r="BJ65" s="189">
        <f t="shared" ref="BJ65:BJ143" si="30">AC65/J65/L65/8*O65</f>
        <v>3791600.411864493</v>
      </c>
      <c r="BK65" s="189"/>
      <c r="BL65" s="189"/>
      <c r="BM65" s="190"/>
      <c r="BN65" s="190"/>
      <c r="BO65" s="190"/>
      <c r="BP65" s="189">
        <f t="shared" ref="BP65:BP67" si="31">AK65/J65/L65/6.28*12</f>
        <v>4830064.2421751935</v>
      </c>
      <c r="BQ65" s="191">
        <f t="shared" si="14"/>
        <v>-1038463.8303107005</v>
      </c>
      <c r="BR65" s="114">
        <f t="shared" si="15"/>
        <v>-2.0849181570902396E-2</v>
      </c>
      <c r="BS65" s="98"/>
      <c r="BT65" s="98"/>
      <c r="BU65" s="98"/>
      <c r="BV65" s="115">
        <f t="shared" si="16"/>
        <v>-2.4324045166052796E-2</v>
      </c>
      <c r="BW65" s="115"/>
      <c r="BX65" s="116">
        <f t="shared" si="17"/>
        <v>-3.7702270007381841E-2</v>
      </c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>
        <v>0</v>
      </c>
      <c r="CL65" s="93"/>
      <c r="CM65" s="230"/>
    </row>
    <row r="66" spans="1:92" ht="25.5" x14ac:dyDescent="0.2">
      <c r="B66" s="99">
        <f t="shared" si="18"/>
        <v>58</v>
      </c>
      <c r="C66" s="179" t="s">
        <v>199</v>
      </c>
      <c r="D66" s="180" t="s">
        <v>198</v>
      </c>
      <c r="E66" s="179" t="s">
        <v>161</v>
      </c>
      <c r="F66" s="179" t="s">
        <v>134</v>
      </c>
      <c r="G66" s="173">
        <v>43678</v>
      </c>
      <c r="H66" s="173">
        <v>43678</v>
      </c>
      <c r="I66" s="181">
        <v>10000000</v>
      </c>
      <c r="J66" s="182">
        <v>7.7499999999999999E-2</v>
      </c>
      <c r="K66" s="76">
        <v>7.4999999999999997E-2</v>
      </c>
      <c r="L66" s="183">
        <v>0.9</v>
      </c>
      <c r="M66" s="184">
        <v>4</v>
      </c>
      <c r="N66" s="184"/>
      <c r="O66" s="183">
        <v>12</v>
      </c>
      <c r="P66" s="184">
        <f t="shared" si="5"/>
        <v>232500</v>
      </c>
      <c r="Q66" s="184">
        <f t="shared" si="6"/>
        <v>6066560.6589831896</v>
      </c>
      <c r="R66" s="184">
        <f t="shared" si="7"/>
        <v>141047.53532135914</v>
      </c>
      <c r="S66" s="184">
        <f t="shared" si="8"/>
        <v>91452.464678640856</v>
      </c>
      <c r="T66" s="185">
        <v>0.606656065898319</v>
      </c>
      <c r="U66" s="184"/>
      <c r="V66" s="183"/>
      <c r="W66" s="184">
        <f t="shared" si="3"/>
        <v>6066560.6589831896</v>
      </c>
      <c r="X66" s="184">
        <f t="shared" si="3"/>
        <v>141047.53532135914</v>
      </c>
      <c r="Y66" s="186">
        <f t="shared" si="9"/>
        <v>6066560.6589831896</v>
      </c>
      <c r="Z66" s="186">
        <f t="shared" si="9"/>
        <v>141047.53532135914</v>
      </c>
      <c r="AA66" s="228"/>
      <c r="AB66" s="228"/>
      <c r="AC66" s="186">
        <f t="shared" si="21"/>
        <v>141047.53532135914</v>
      </c>
      <c r="AD66" s="187">
        <v>0</v>
      </c>
      <c r="AE66" s="187">
        <f t="shared" si="27"/>
        <v>2696249.1817703065</v>
      </c>
      <c r="AF66" s="187"/>
      <c r="AG66" s="188"/>
      <c r="AH66" s="188"/>
      <c r="AI66" s="188"/>
      <c r="AJ66" s="188"/>
      <c r="AK66" s="188">
        <v>141047.54</v>
      </c>
      <c r="AL66" s="188">
        <f t="shared" si="10"/>
        <v>-4.6786408638581634E-3</v>
      </c>
      <c r="AM66" s="188"/>
      <c r="AN66" s="188"/>
      <c r="AO66" s="188"/>
      <c r="AP66" s="111">
        <f t="shared" si="11"/>
        <v>-4.6786408638581634E-3</v>
      </c>
      <c r="AQ66" s="111"/>
      <c r="AR66" s="111">
        <f t="shared" si="12"/>
        <v>-4.6786408638581634E-3</v>
      </c>
      <c r="AS66" s="111"/>
      <c r="AT66" s="111">
        <v>0</v>
      </c>
      <c r="AU66" s="111">
        <f t="shared" si="28"/>
        <v>-4.6786408638581634E-3</v>
      </c>
      <c r="AV66" s="111"/>
      <c r="AW66" s="111"/>
      <c r="AX66" s="111"/>
      <c r="AY66" s="111"/>
      <c r="AZ66" s="111"/>
      <c r="BA66" s="111">
        <f t="shared" si="13"/>
        <v>0</v>
      </c>
      <c r="BB66" s="111"/>
      <c r="BC66" s="111"/>
      <c r="BD66" s="111"/>
      <c r="BE66" s="111"/>
      <c r="BF66" s="111"/>
      <c r="BG66" s="111"/>
      <c r="BH66" s="111">
        <f t="shared" si="20"/>
        <v>0</v>
      </c>
      <c r="BI66" s="111"/>
      <c r="BJ66" s="189">
        <f t="shared" si="30"/>
        <v>3033280.3294915948</v>
      </c>
      <c r="BK66" s="189"/>
      <c r="BL66" s="189"/>
      <c r="BM66" s="190"/>
      <c r="BN66" s="190"/>
      <c r="BO66" s="190"/>
      <c r="BP66" s="189">
        <f t="shared" si="31"/>
        <v>3864051.5033216905</v>
      </c>
      <c r="BQ66" s="191">
        <f t="shared" si="14"/>
        <v>-830771.17383009568</v>
      </c>
      <c r="BR66" s="114">
        <f t="shared" si="15"/>
        <v>-0.11498963720695946</v>
      </c>
      <c r="BS66" s="98"/>
      <c r="BT66" s="98"/>
      <c r="BU66" s="98"/>
      <c r="BV66" s="115">
        <f t="shared" si="16"/>
        <v>-0.1341545767414527</v>
      </c>
      <c r="BW66" s="115"/>
      <c r="BX66" s="116">
        <f t="shared" si="17"/>
        <v>-0.20793959394925171</v>
      </c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>
        <v>0</v>
      </c>
      <c r="CL66" s="93"/>
      <c r="CM66" s="230"/>
    </row>
    <row r="67" spans="1:92" ht="25.5" x14ac:dyDescent="0.2">
      <c r="B67" s="99">
        <f t="shared" si="18"/>
        <v>59</v>
      </c>
      <c r="C67" s="179" t="s">
        <v>199</v>
      </c>
      <c r="D67" s="180" t="s">
        <v>198</v>
      </c>
      <c r="E67" s="179" t="s">
        <v>161</v>
      </c>
      <c r="F67" s="179" t="s">
        <v>134</v>
      </c>
      <c r="G67" s="173">
        <v>43709</v>
      </c>
      <c r="H67" s="173">
        <v>43709</v>
      </c>
      <c r="I67" s="181">
        <v>10000000</v>
      </c>
      <c r="J67" s="182">
        <v>7.7499999999999999E-2</v>
      </c>
      <c r="K67" s="76">
        <v>7.4999999999999997E-2</v>
      </c>
      <c r="L67" s="183">
        <v>0.9</v>
      </c>
      <c r="M67" s="184">
        <v>3</v>
      </c>
      <c r="N67" s="184"/>
      <c r="O67" s="183">
        <v>12</v>
      </c>
      <c r="P67" s="184">
        <f t="shared" si="5"/>
        <v>174375</v>
      </c>
      <c r="Q67" s="184">
        <f t="shared" si="6"/>
        <v>6066560.6589831896</v>
      </c>
      <c r="R67" s="184">
        <f t="shared" si="7"/>
        <v>105785.65149101937</v>
      </c>
      <c r="S67" s="184">
        <f t="shared" si="8"/>
        <v>68589.348508980635</v>
      </c>
      <c r="T67" s="185">
        <v>0.606656065898319</v>
      </c>
      <c r="U67" s="184"/>
      <c r="V67" s="183"/>
      <c r="W67" s="184">
        <f t="shared" si="3"/>
        <v>6066560.6589831896</v>
      </c>
      <c r="X67" s="184">
        <f t="shared" si="3"/>
        <v>105785.65149101937</v>
      </c>
      <c r="Y67" s="186">
        <f t="shared" si="9"/>
        <v>6066560.6589831896</v>
      </c>
      <c r="Z67" s="186">
        <f t="shared" si="9"/>
        <v>105785.65149101937</v>
      </c>
      <c r="AA67" s="228"/>
      <c r="AB67" s="228"/>
      <c r="AC67" s="186">
        <f t="shared" si="21"/>
        <v>105785.65149101937</v>
      </c>
      <c r="AD67" s="187">
        <v>0</v>
      </c>
      <c r="AE67" s="187">
        <f t="shared" si="27"/>
        <v>2022186.88632773</v>
      </c>
      <c r="AF67" s="187"/>
      <c r="AG67" s="188"/>
      <c r="AH67" s="188"/>
      <c r="AI67" s="188"/>
      <c r="AJ67" s="188"/>
      <c r="AK67" s="188">
        <v>105785.65</v>
      </c>
      <c r="AL67" s="188">
        <f t="shared" si="10"/>
        <v>1.4910193713149056E-3</v>
      </c>
      <c r="AM67" s="188"/>
      <c r="AN67" s="188"/>
      <c r="AO67" s="188"/>
      <c r="AP67" s="111">
        <f t="shared" si="11"/>
        <v>1.4910193713149056E-3</v>
      </c>
      <c r="AQ67" s="111"/>
      <c r="AR67" s="111">
        <f t="shared" si="12"/>
        <v>1.4910193713149056E-3</v>
      </c>
      <c r="AS67" s="111"/>
      <c r="AT67" s="111">
        <v>0</v>
      </c>
      <c r="AU67" s="111">
        <f t="shared" si="28"/>
        <v>1.4910193713149056E-3</v>
      </c>
      <c r="AV67" s="111"/>
      <c r="AW67" s="111"/>
      <c r="AX67" s="111"/>
      <c r="AY67" s="111"/>
      <c r="AZ67" s="111"/>
      <c r="BA67" s="111">
        <f t="shared" si="13"/>
        <v>0</v>
      </c>
      <c r="BB67" s="111"/>
      <c r="BC67" s="111"/>
      <c r="BD67" s="111"/>
      <c r="BE67" s="111"/>
      <c r="BF67" s="111"/>
      <c r="BG67" s="111"/>
      <c r="BH67" s="111">
        <f t="shared" si="20"/>
        <v>0</v>
      </c>
      <c r="BI67" s="111"/>
      <c r="BJ67" s="189">
        <f t="shared" si="30"/>
        <v>2274960.2471186961</v>
      </c>
      <c r="BK67" s="189"/>
      <c r="BL67" s="189"/>
      <c r="BM67" s="190"/>
      <c r="BN67" s="190"/>
      <c r="BO67" s="190"/>
      <c r="BP67" s="189">
        <f t="shared" si="31"/>
        <v>2898038.4905143483</v>
      </c>
      <c r="BQ67" s="191">
        <f t="shared" si="14"/>
        <v>-623078.24339565216</v>
      </c>
      <c r="BR67" s="114">
        <f t="shared" si="15"/>
        <v>3.6645637390228095E-2</v>
      </c>
      <c r="BS67" s="98"/>
      <c r="BT67" s="98"/>
      <c r="BU67" s="98"/>
      <c r="BV67" s="115">
        <f t="shared" si="16"/>
        <v>4.2753243621932779E-2</v>
      </c>
      <c r="BW67" s="115"/>
      <c r="BX67" s="116">
        <f t="shared" si="17"/>
        <v>6.6267527613995805E-2</v>
      </c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>
        <v>0</v>
      </c>
      <c r="CL67" s="93"/>
      <c r="CM67" s="230"/>
    </row>
    <row r="68" spans="1:92" s="118" customFormat="1" ht="38.25" x14ac:dyDescent="0.2">
      <c r="B68" s="99">
        <f t="shared" si="18"/>
        <v>60</v>
      </c>
      <c r="C68" s="100" t="s">
        <v>199</v>
      </c>
      <c r="D68" s="101" t="s">
        <v>198</v>
      </c>
      <c r="E68" s="100" t="s">
        <v>161</v>
      </c>
      <c r="F68" s="100" t="s">
        <v>134</v>
      </c>
      <c r="G68" s="103">
        <v>43739</v>
      </c>
      <c r="H68" s="103" t="s">
        <v>97</v>
      </c>
      <c r="I68" s="104">
        <v>10000000</v>
      </c>
      <c r="J68" s="105">
        <v>7.7499999999999999E-2</v>
      </c>
      <c r="K68" s="105">
        <v>7.4999999999999997E-2</v>
      </c>
      <c r="L68" s="106">
        <v>0.9</v>
      </c>
      <c r="M68" s="107">
        <v>2</v>
      </c>
      <c r="N68" s="107">
        <v>3</v>
      </c>
      <c r="O68" s="106">
        <v>12</v>
      </c>
      <c r="P68" s="107">
        <f t="shared" si="5"/>
        <v>116250</v>
      </c>
      <c r="Q68" s="107">
        <f t="shared" si="6"/>
        <v>6066560.6589831896</v>
      </c>
      <c r="R68" s="107">
        <f t="shared" si="7"/>
        <v>70523.767660679572</v>
      </c>
      <c r="S68" s="107">
        <f t="shared" si="8"/>
        <v>45726.232339320428</v>
      </c>
      <c r="T68" s="108">
        <v>0.606656065898319</v>
      </c>
      <c r="U68" s="107"/>
      <c r="V68" s="106"/>
      <c r="W68" s="107">
        <f t="shared" si="3"/>
        <v>6066560.6589831896</v>
      </c>
      <c r="X68" s="107">
        <f t="shared" si="3"/>
        <v>70523.767660679572</v>
      </c>
      <c r="Y68" s="109">
        <f t="shared" si="9"/>
        <v>6066560.6589831896</v>
      </c>
      <c r="Z68" s="109">
        <f t="shared" si="9"/>
        <v>70523.767660679572</v>
      </c>
      <c r="AA68" s="137"/>
      <c r="AB68" s="137"/>
      <c r="AC68" s="109">
        <f t="shared" si="21"/>
        <v>70523.767660679572</v>
      </c>
      <c r="AD68" s="110">
        <v>0</v>
      </c>
      <c r="AE68" s="110">
        <f t="shared" si="27"/>
        <v>1348124.5908851533</v>
      </c>
      <c r="AF68" s="110"/>
      <c r="AG68" s="111"/>
      <c r="AH68" s="111"/>
      <c r="AI68" s="111"/>
      <c r="AJ68" s="111"/>
      <c r="AK68" s="111">
        <v>43115.67</v>
      </c>
      <c r="AL68" s="111">
        <f t="shared" si="10"/>
        <v>27408.097660679574</v>
      </c>
      <c r="AM68" s="111"/>
      <c r="AN68" s="111"/>
      <c r="AO68" s="111"/>
      <c r="AP68" s="111">
        <f t="shared" si="11"/>
        <v>27408.097660679574</v>
      </c>
      <c r="AQ68" s="111"/>
      <c r="AR68" s="111">
        <f t="shared" si="12"/>
        <v>27408.097660679574</v>
      </c>
      <c r="AS68" s="111"/>
      <c r="AT68" s="111">
        <v>27408.097574999996</v>
      </c>
      <c r="AU68" s="111">
        <f t="shared" si="28"/>
        <v>8.5679577750852332E-5</v>
      </c>
      <c r="AV68" s="111"/>
      <c r="AW68" s="111"/>
      <c r="AX68" s="111"/>
      <c r="AY68" s="111">
        <v>421875</v>
      </c>
      <c r="AZ68" s="111"/>
      <c r="BA68" s="111">
        <f t="shared" si="13"/>
        <v>421875</v>
      </c>
      <c r="BB68" s="111"/>
      <c r="BC68" s="111"/>
      <c r="BD68" s="111"/>
      <c r="BE68" s="111">
        <v>415633.56</v>
      </c>
      <c r="BF68" s="111"/>
      <c r="BG68" s="111"/>
      <c r="BH68" s="111">
        <f t="shared" si="20"/>
        <v>6241.4400000000023</v>
      </c>
      <c r="BI68" s="111">
        <v>0</v>
      </c>
      <c r="BJ68" s="112">
        <f t="shared" si="30"/>
        <v>1516640.1647457974</v>
      </c>
      <c r="BK68" s="112"/>
      <c r="BL68" s="112"/>
      <c r="BM68" s="113"/>
      <c r="BN68" s="113"/>
      <c r="BO68" s="113"/>
      <c r="BP68" s="112">
        <f>AK68/J68/L68/6.28*12+1300.18</f>
        <v>1182470.5107992603</v>
      </c>
      <c r="BQ68" s="114">
        <f t="shared" si="14"/>
        <v>334169.65394653706</v>
      </c>
      <c r="BR68" s="114">
        <f t="shared" si="15"/>
        <v>673624.52007814613</v>
      </c>
      <c r="BS68" s="98"/>
      <c r="BT68" s="98"/>
      <c r="BU68" s="98"/>
      <c r="BV68" s="115">
        <f t="shared" si="16"/>
        <v>785895.27342450386</v>
      </c>
      <c r="BW68" s="115"/>
      <c r="BX68" s="116">
        <f t="shared" si="17"/>
        <v>1218137.673807981</v>
      </c>
      <c r="BY68" s="116">
        <v>1218137.67</v>
      </c>
      <c r="BZ68" s="116"/>
      <c r="CA68" s="116"/>
      <c r="CB68" s="116"/>
      <c r="CC68" s="116"/>
      <c r="CD68" s="116">
        <v>25000000</v>
      </c>
      <c r="CE68" s="116"/>
      <c r="CF68" s="116"/>
      <c r="CG68" s="116"/>
      <c r="CH68" s="116">
        <v>25000000</v>
      </c>
      <c r="CI68" s="116"/>
      <c r="CJ68" s="116"/>
      <c r="CK68" s="116">
        <v>0</v>
      </c>
      <c r="CL68" s="116">
        <v>25000000</v>
      </c>
      <c r="CM68" s="119" t="s">
        <v>105</v>
      </c>
      <c r="CN68" s="121" t="s">
        <v>109</v>
      </c>
    </row>
    <row r="69" spans="1:92" s="118" customFormat="1" ht="38.25" x14ac:dyDescent="0.2">
      <c r="B69" s="99">
        <f t="shared" si="18"/>
        <v>61</v>
      </c>
      <c r="C69" s="100" t="s">
        <v>199</v>
      </c>
      <c r="D69" s="101" t="s">
        <v>198</v>
      </c>
      <c r="E69" s="100" t="s">
        <v>161</v>
      </c>
      <c r="F69" s="100" t="s">
        <v>134</v>
      </c>
      <c r="G69" s="103">
        <v>43770</v>
      </c>
      <c r="H69" s="103" t="s">
        <v>148</v>
      </c>
      <c r="I69" s="104">
        <v>10000000</v>
      </c>
      <c r="J69" s="105">
        <v>7.7499999999999999E-2</v>
      </c>
      <c r="K69" s="105">
        <v>7.4999999999999997E-2</v>
      </c>
      <c r="L69" s="106">
        <v>0.9</v>
      </c>
      <c r="M69" s="107">
        <v>1</v>
      </c>
      <c r="N69" s="107">
        <v>2</v>
      </c>
      <c r="O69" s="106">
        <v>12</v>
      </c>
      <c r="P69" s="107">
        <f t="shared" si="5"/>
        <v>58125</v>
      </c>
      <c r="Q69" s="107">
        <f t="shared" si="6"/>
        <v>6066560.6589831896</v>
      </c>
      <c r="R69" s="107">
        <f t="shared" si="7"/>
        <v>35261.883830339786</v>
      </c>
      <c r="S69" s="107">
        <f t="shared" si="8"/>
        <v>22863.116169660214</v>
      </c>
      <c r="T69" s="108">
        <v>0.606656065898319</v>
      </c>
      <c r="U69" s="107"/>
      <c r="V69" s="106"/>
      <c r="W69" s="107">
        <f t="shared" si="3"/>
        <v>6066560.6589831896</v>
      </c>
      <c r="X69" s="107">
        <f t="shared" si="3"/>
        <v>35261.883830339786</v>
      </c>
      <c r="Y69" s="109">
        <f t="shared" si="9"/>
        <v>6066560.6589831896</v>
      </c>
      <c r="Z69" s="109">
        <f t="shared" si="9"/>
        <v>35261.883830339786</v>
      </c>
      <c r="AA69" s="137"/>
      <c r="AB69" s="137"/>
      <c r="AC69" s="109">
        <f t="shared" si="21"/>
        <v>35261.883830339786</v>
      </c>
      <c r="AD69" s="110">
        <v>0</v>
      </c>
      <c r="AE69" s="110">
        <f t="shared" si="27"/>
        <v>674062.29544257664</v>
      </c>
      <c r="AF69" s="110"/>
      <c r="AG69" s="111"/>
      <c r="AH69" s="111"/>
      <c r="AI69" s="111"/>
      <c r="AJ69" s="111"/>
      <c r="AK69" s="111"/>
      <c r="AL69" s="111">
        <f t="shared" si="10"/>
        <v>35261.883830339786</v>
      </c>
      <c r="AM69" s="111"/>
      <c r="AN69" s="111"/>
      <c r="AO69" s="111"/>
      <c r="AP69" s="111">
        <f t="shared" si="11"/>
        <v>35261.883830339786</v>
      </c>
      <c r="AQ69" s="111"/>
      <c r="AR69" s="111">
        <f t="shared" si="12"/>
        <v>35261.883830339786</v>
      </c>
      <c r="AS69" s="111"/>
      <c r="AT69" s="111">
        <v>35261.883900000001</v>
      </c>
      <c r="AU69" s="111">
        <f t="shared" si="28"/>
        <v>-6.9660214649047703E-5</v>
      </c>
      <c r="AV69" s="111"/>
      <c r="AW69" s="111"/>
      <c r="AX69" s="111"/>
      <c r="AY69" s="111">
        <v>281250</v>
      </c>
      <c r="AZ69" s="111"/>
      <c r="BA69" s="111">
        <f t="shared" si="13"/>
        <v>281250</v>
      </c>
      <c r="BB69" s="111"/>
      <c r="BC69" s="111"/>
      <c r="BD69" s="111"/>
      <c r="BE69" s="111"/>
      <c r="BF69" s="111"/>
      <c r="BG69" s="111">
        <v>402226.03</v>
      </c>
      <c r="BH69" s="111">
        <f t="shared" si="20"/>
        <v>-120976.03000000003</v>
      </c>
      <c r="BI69" s="111">
        <v>0</v>
      </c>
      <c r="BJ69" s="112">
        <f t="shared" si="30"/>
        <v>758320.0823728987</v>
      </c>
      <c r="BK69" s="112"/>
      <c r="BL69" s="112"/>
      <c r="BM69" s="113"/>
      <c r="BN69" s="113"/>
      <c r="BO69" s="113"/>
      <c r="BP69" s="113"/>
      <c r="BQ69" s="114">
        <f t="shared" si="14"/>
        <v>758320.0823728987</v>
      </c>
      <c r="BR69" s="114">
        <f t="shared" si="15"/>
        <v>866651.52271188423</v>
      </c>
      <c r="BS69" s="98"/>
      <c r="BT69" s="98"/>
      <c r="BU69" s="98"/>
      <c r="BV69" s="115">
        <f t="shared" si="16"/>
        <v>1011093.443163865</v>
      </c>
      <c r="BW69" s="115"/>
      <c r="BX69" s="116">
        <f t="shared" si="17"/>
        <v>1567194.8369039905</v>
      </c>
      <c r="BY69" s="116">
        <v>1567194.84</v>
      </c>
      <c r="BZ69" s="116"/>
      <c r="CA69" s="116"/>
      <c r="CB69" s="116"/>
      <c r="CC69" s="116"/>
      <c r="CD69" s="116">
        <v>25000000</v>
      </c>
      <c r="CE69" s="116"/>
      <c r="CF69" s="116"/>
      <c r="CG69" s="116"/>
      <c r="CH69" s="116"/>
      <c r="CI69" s="116"/>
      <c r="CJ69" s="116">
        <v>25000000</v>
      </c>
      <c r="CK69" s="116">
        <v>0</v>
      </c>
      <c r="CL69" s="116">
        <v>25000000</v>
      </c>
      <c r="CM69" s="119" t="s">
        <v>200</v>
      </c>
      <c r="CN69" s="121" t="s">
        <v>109</v>
      </c>
    </row>
    <row r="70" spans="1:92" ht="30" customHeight="1" x14ac:dyDescent="0.2">
      <c r="B70" s="145">
        <f t="shared" si="18"/>
        <v>62</v>
      </c>
      <c r="C70" s="231" t="s">
        <v>199</v>
      </c>
      <c r="D70" s="232" t="s">
        <v>198</v>
      </c>
      <c r="E70" s="231" t="s">
        <v>161</v>
      </c>
      <c r="F70" s="231" t="s">
        <v>134</v>
      </c>
      <c r="G70" s="233">
        <v>43800</v>
      </c>
      <c r="H70" s="233">
        <v>43800</v>
      </c>
      <c r="I70" s="234">
        <v>10000000</v>
      </c>
      <c r="J70" s="235">
        <v>7.7499999999999999E-2</v>
      </c>
      <c r="K70" s="76">
        <v>7.2499999999999995E-2</v>
      </c>
      <c r="L70" s="236">
        <v>0.9</v>
      </c>
      <c r="M70" s="237">
        <v>0</v>
      </c>
      <c r="N70" s="237">
        <v>0</v>
      </c>
      <c r="O70" s="236">
        <v>12</v>
      </c>
      <c r="P70" s="237">
        <f t="shared" si="5"/>
        <v>0</v>
      </c>
      <c r="Q70" s="237">
        <f t="shared" si="6"/>
        <v>6066560.6589831896</v>
      </c>
      <c r="R70" s="237">
        <f t="shared" si="7"/>
        <v>0</v>
      </c>
      <c r="S70" s="237">
        <f t="shared" si="8"/>
        <v>0</v>
      </c>
      <c r="T70" s="238">
        <v>0.606656065898319</v>
      </c>
      <c r="U70" s="237"/>
      <c r="V70" s="236"/>
      <c r="W70" s="237">
        <f t="shared" si="3"/>
        <v>6066560.6589831896</v>
      </c>
      <c r="X70" s="237">
        <f t="shared" si="3"/>
        <v>0</v>
      </c>
      <c r="Y70" s="239">
        <f t="shared" si="9"/>
        <v>6066560.6589831896</v>
      </c>
      <c r="Z70" s="239">
        <f t="shared" si="9"/>
        <v>0</v>
      </c>
      <c r="AA70" s="240"/>
      <c r="AB70" s="240"/>
      <c r="AC70" s="239">
        <f t="shared" si="21"/>
        <v>0</v>
      </c>
      <c r="AD70" s="241">
        <v>0</v>
      </c>
      <c r="AE70" s="241">
        <f t="shared" si="27"/>
        <v>0</v>
      </c>
      <c r="AF70" s="241"/>
      <c r="AG70" s="83"/>
      <c r="AH70" s="242"/>
      <c r="AI70" s="83"/>
      <c r="AJ70" s="83"/>
      <c r="AK70" s="84"/>
      <c r="AL70" s="82">
        <f t="shared" si="10"/>
        <v>0</v>
      </c>
      <c r="AM70" s="82"/>
      <c r="AN70" s="82"/>
      <c r="AO70" s="82"/>
      <c r="AP70" s="82">
        <f t="shared" si="11"/>
        <v>0</v>
      </c>
      <c r="AQ70" s="82"/>
      <c r="AR70" s="82">
        <f t="shared" si="12"/>
        <v>0</v>
      </c>
      <c r="AS70" s="82"/>
      <c r="AT70" s="82">
        <v>0</v>
      </c>
      <c r="AU70" s="85">
        <f t="shared" si="28"/>
        <v>0</v>
      </c>
      <c r="AV70" s="85"/>
      <c r="AW70" s="86"/>
      <c r="AX70" s="86"/>
      <c r="AY70" s="85"/>
      <c r="AZ70" s="85"/>
      <c r="BA70" s="85">
        <f t="shared" si="13"/>
        <v>0</v>
      </c>
      <c r="BB70" s="85"/>
      <c r="BC70" s="85"/>
      <c r="BD70" s="85"/>
      <c r="BE70" s="85"/>
      <c r="BF70" s="85"/>
      <c r="BG70" s="85"/>
      <c r="BH70" s="85">
        <f t="shared" si="20"/>
        <v>0</v>
      </c>
      <c r="BI70" s="85">
        <f>CK70*K70*L70*N70/O70</f>
        <v>0</v>
      </c>
      <c r="BJ70" s="243">
        <f t="shared" si="30"/>
        <v>0</v>
      </c>
      <c r="BK70" s="243"/>
      <c r="BL70" s="243"/>
      <c r="BM70" s="244"/>
      <c r="BN70" s="89"/>
      <c r="BO70" s="89"/>
      <c r="BP70" s="90"/>
      <c r="BQ70" s="91">
        <f t="shared" si="14"/>
        <v>0</v>
      </c>
      <c r="BR70" s="91">
        <f t="shared" si="15"/>
        <v>0</v>
      </c>
      <c r="BS70" s="245"/>
      <c r="BT70" s="245"/>
      <c r="BU70" s="245"/>
      <c r="BV70" s="92">
        <f t="shared" si="16"/>
        <v>0</v>
      </c>
      <c r="BW70" s="92"/>
      <c r="BX70" s="93">
        <f t="shared" si="17"/>
        <v>0</v>
      </c>
      <c r="BY70" s="93"/>
      <c r="BZ70" s="93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5">
        <v>20100000</v>
      </c>
      <c r="CL70" s="93"/>
      <c r="CM70" s="230"/>
    </row>
    <row r="71" spans="1:92" s="118" customFormat="1" ht="25.5" x14ac:dyDescent="0.2">
      <c r="A71" s="118">
        <f>A60+1</f>
        <v>33</v>
      </c>
      <c r="B71" s="99">
        <f t="shared" si="18"/>
        <v>63</v>
      </c>
      <c r="C71" s="100" t="s">
        <v>201</v>
      </c>
      <c r="D71" s="101" t="s">
        <v>202</v>
      </c>
      <c r="E71" s="100" t="s">
        <v>95</v>
      </c>
      <c r="F71" s="100" t="s">
        <v>96</v>
      </c>
      <c r="G71" s="103">
        <v>43770</v>
      </c>
      <c r="H71" s="103">
        <v>43770</v>
      </c>
      <c r="I71" s="104">
        <v>15000000</v>
      </c>
      <c r="J71" s="105">
        <v>7.7499999999999999E-2</v>
      </c>
      <c r="K71" s="105">
        <v>7.4999999999999997E-2</v>
      </c>
      <c r="L71" s="106">
        <v>0.9</v>
      </c>
      <c r="M71" s="107">
        <v>1</v>
      </c>
      <c r="N71" s="107">
        <v>1</v>
      </c>
      <c r="O71" s="106">
        <v>12</v>
      </c>
      <c r="P71" s="107">
        <f t="shared" si="5"/>
        <v>87187.5</v>
      </c>
      <c r="Q71" s="107">
        <f t="shared" si="6"/>
        <v>9099840.9884747844</v>
      </c>
      <c r="R71" s="107">
        <f t="shared" si="7"/>
        <v>52892.825745509683</v>
      </c>
      <c r="S71" s="107">
        <f t="shared" si="8"/>
        <v>34294.674254490317</v>
      </c>
      <c r="T71" s="108">
        <v>0.606656065898319</v>
      </c>
      <c r="U71" s="107"/>
      <c r="V71" s="106"/>
      <c r="W71" s="107">
        <f t="shared" si="3"/>
        <v>9099840.9884747844</v>
      </c>
      <c r="X71" s="107">
        <f t="shared" si="3"/>
        <v>52892.825745509683</v>
      </c>
      <c r="Y71" s="109">
        <f t="shared" si="9"/>
        <v>9099840.9884747844</v>
      </c>
      <c r="Z71" s="109">
        <f t="shared" si="9"/>
        <v>52892.825745509683</v>
      </c>
      <c r="AA71" s="109"/>
      <c r="AB71" s="109"/>
      <c r="AC71" s="109">
        <f t="shared" si="21"/>
        <v>52892.825745509683</v>
      </c>
      <c r="AD71" s="110">
        <v>909984.09884747851</v>
      </c>
      <c r="AE71" s="110">
        <f t="shared" si="27"/>
        <v>1011093.443163865</v>
      </c>
      <c r="AF71" s="110"/>
      <c r="AG71" s="111"/>
      <c r="AH71" s="111"/>
      <c r="AI71" s="111"/>
      <c r="AJ71" s="111"/>
      <c r="AK71" s="111"/>
      <c r="AL71" s="111">
        <f t="shared" si="10"/>
        <v>52892.825745509683</v>
      </c>
      <c r="AM71" s="111"/>
      <c r="AN71" s="111"/>
      <c r="AO71" s="111"/>
      <c r="AP71" s="111">
        <f t="shared" si="11"/>
        <v>52892.825745509683</v>
      </c>
      <c r="AQ71" s="111"/>
      <c r="AR71" s="111">
        <f t="shared" si="12"/>
        <v>52892.825745509683</v>
      </c>
      <c r="AS71" s="111"/>
      <c r="AT71" s="111">
        <f>BY71*K71*L71*N71/O71</f>
        <v>84375</v>
      </c>
      <c r="AU71" s="111">
        <f t="shared" si="28"/>
        <v>-31482.174254490317</v>
      </c>
      <c r="AV71" s="111"/>
      <c r="AW71" s="111"/>
      <c r="AX71" s="111"/>
      <c r="AY71" s="111">
        <v>84375</v>
      </c>
      <c r="AZ71" s="111"/>
      <c r="BA71" s="111">
        <f t="shared" si="13"/>
        <v>84375</v>
      </c>
      <c r="BB71" s="111"/>
      <c r="BC71" s="111"/>
      <c r="BD71" s="111"/>
      <c r="BE71" s="111"/>
      <c r="BF71" s="111"/>
      <c r="BG71" s="111">
        <v>241335.62</v>
      </c>
      <c r="BH71" s="111">
        <f t="shared" si="20"/>
        <v>-156960.62</v>
      </c>
      <c r="BI71" s="111"/>
      <c r="BJ71" s="112">
        <f t="shared" si="30"/>
        <v>1137480.1235593481</v>
      </c>
      <c r="BK71" s="112"/>
      <c r="BL71" s="112"/>
      <c r="BM71" s="113"/>
      <c r="BN71" s="113"/>
      <c r="BO71" s="113"/>
      <c r="BP71" s="113"/>
      <c r="BQ71" s="114">
        <f t="shared" si="14"/>
        <v>1137480.1235593481</v>
      </c>
      <c r="BR71" s="114">
        <f t="shared" si="15"/>
        <v>1299977.2840678263</v>
      </c>
      <c r="BS71" s="98"/>
      <c r="BT71" s="98"/>
      <c r="BU71" s="98"/>
      <c r="BV71" s="115">
        <f t="shared" si="16"/>
        <v>1516640.1647457974</v>
      </c>
      <c r="BW71" s="115"/>
      <c r="BX71" s="116">
        <f t="shared" si="17"/>
        <v>2350792.2553559858</v>
      </c>
      <c r="BY71" s="116">
        <v>15000000</v>
      </c>
      <c r="BZ71" s="116"/>
      <c r="CA71" s="116"/>
      <c r="CB71" s="116"/>
      <c r="CC71" s="116"/>
      <c r="CD71" s="116">
        <v>15000000</v>
      </c>
      <c r="CE71" s="116"/>
      <c r="CF71" s="116"/>
      <c r="CG71" s="116"/>
      <c r="CH71" s="116"/>
      <c r="CI71" s="116"/>
      <c r="CJ71" s="116">
        <v>15000000</v>
      </c>
      <c r="CK71" s="116">
        <f>15000000-15000000</f>
        <v>0</v>
      </c>
      <c r="CL71" s="116">
        <v>15000000</v>
      </c>
      <c r="CM71" s="119" t="s">
        <v>203</v>
      </c>
      <c r="CN71" s="120" t="s">
        <v>106</v>
      </c>
    </row>
    <row r="72" spans="1:92" s="120" customFormat="1" ht="25.5" x14ac:dyDescent="0.2">
      <c r="A72" s="120">
        <f>A71+1</f>
        <v>34</v>
      </c>
      <c r="B72" s="99">
        <f t="shared" si="18"/>
        <v>64</v>
      </c>
      <c r="C72" s="122" t="s">
        <v>204</v>
      </c>
      <c r="D72" s="123" t="s">
        <v>205</v>
      </c>
      <c r="E72" s="122" t="s">
        <v>95</v>
      </c>
      <c r="F72" s="100" t="s">
        <v>134</v>
      </c>
      <c r="G72" s="124">
        <v>43497</v>
      </c>
      <c r="H72" s="124">
        <v>43497</v>
      </c>
      <c r="I72" s="125">
        <v>10000000</v>
      </c>
      <c r="J72" s="126">
        <v>7.7499999999999999E-2</v>
      </c>
      <c r="K72" s="105">
        <v>7.4999999999999997E-2</v>
      </c>
      <c r="L72" s="127">
        <v>0.9</v>
      </c>
      <c r="M72" s="128">
        <v>10</v>
      </c>
      <c r="N72" s="128"/>
      <c r="O72" s="127">
        <v>12</v>
      </c>
      <c r="P72" s="128">
        <f t="shared" si="5"/>
        <v>581250</v>
      </c>
      <c r="Q72" s="128">
        <f t="shared" si="6"/>
        <v>6066560.6589831896</v>
      </c>
      <c r="R72" s="128">
        <f t="shared" si="7"/>
        <v>352618.83830339788</v>
      </c>
      <c r="S72" s="128">
        <f t="shared" si="8"/>
        <v>228631.16169660212</v>
      </c>
      <c r="T72" s="129">
        <v>0.606656065898319</v>
      </c>
      <c r="U72" s="172">
        <v>10000000</v>
      </c>
      <c r="V72" s="141">
        <v>581250</v>
      </c>
      <c r="W72" s="128">
        <f t="shared" si="3"/>
        <v>-3933439.3410168104</v>
      </c>
      <c r="X72" s="128">
        <f t="shared" si="3"/>
        <v>-228631.16169660212</v>
      </c>
      <c r="Y72" s="130">
        <f t="shared" si="9"/>
        <v>-3933439.3410168104</v>
      </c>
      <c r="Z72" s="130">
        <f t="shared" si="9"/>
        <v>-228631.16169660212</v>
      </c>
      <c r="AA72" s="130"/>
      <c r="AB72" s="130"/>
      <c r="AC72" s="130">
        <f t="shared" si="21"/>
        <v>-228631.16169660212</v>
      </c>
      <c r="AD72" s="131">
        <v>-3933439.3410168113</v>
      </c>
      <c r="AE72" s="131">
        <f t="shared" si="27"/>
        <v>-4370488.1566853458</v>
      </c>
      <c r="AF72" s="131"/>
      <c r="AG72" s="132"/>
      <c r="AH72" s="132"/>
      <c r="AI72" s="132"/>
      <c r="AJ72" s="132"/>
      <c r="AK72" s="132"/>
      <c r="AL72" s="111">
        <f t="shared" si="10"/>
        <v>-228631.16169660212</v>
      </c>
      <c r="AM72" s="111"/>
      <c r="AN72" s="111"/>
      <c r="AO72" s="111"/>
      <c r="AP72" s="111">
        <f t="shared" si="11"/>
        <v>-228631.16169660212</v>
      </c>
      <c r="AQ72" s="111"/>
      <c r="AR72" s="111">
        <f t="shared" ref="AR72:AR137" si="32">AP72-AQ72</f>
        <v>-228631.16169660212</v>
      </c>
      <c r="AS72" s="111"/>
      <c r="AT72" s="111">
        <v>0</v>
      </c>
      <c r="AU72" s="111"/>
      <c r="AV72" s="111"/>
      <c r="AW72" s="111"/>
      <c r="AX72" s="111"/>
      <c r="AY72" s="111"/>
      <c r="AZ72" s="111"/>
      <c r="BA72" s="111">
        <f t="shared" ref="BA72:BA136" si="33">AY72-AZ72</f>
        <v>0</v>
      </c>
      <c r="BB72" s="111"/>
      <c r="BC72" s="111"/>
      <c r="BD72" s="111"/>
      <c r="BE72" s="111"/>
      <c r="BF72" s="111"/>
      <c r="BG72" s="111"/>
      <c r="BH72" s="111">
        <f t="shared" si="20"/>
        <v>0</v>
      </c>
      <c r="BI72" s="111"/>
      <c r="BJ72" s="133">
        <f t="shared" si="30"/>
        <v>-4916799.1762710139</v>
      </c>
      <c r="BK72" s="134"/>
      <c r="BL72" s="134"/>
      <c r="BM72" s="135"/>
      <c r="BN72" s="135"/>
      <c r="BO72" s="135"/>
      <c r="BP72" s="135"/>
      <c r="BQ72" s="114">
        <f t="shared" si="14"/>
        <v>-4916799.1762710139</v>
      </c>
      <c r="BR72" s="114">
        <f t="shared" si="15"/>
        <v>-5619199.0585954441</v>
      </c>
      <c r="BS72" s="136"/>
      <c r="BT72" s="136"/>
      <c r="BU72" s="136"/>
      <c r="BV72" s="115">
        <f t="shared" si="16"/>
        <v>-6555732.2350280192</v>
      </c>
      <c r="BW72" s="115"/>
      <c r="BX72" s="116">
        <f t="shared" ref="BX72:BX137" si="34">AR72/K72/L72/4*O72</f>
        <v>-10161384.964293428</v>
      </c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>
        <v>0</v>
      </c>
      <c r="CL72" s="116"/>
      <c r="CM72" s="119"/>
    </row>
    <row r="73" spans="1:92" s="120" customFormat="1" ht="25.5" x14ac:dyDescent="0.2">
      <c r="B73" s="99">
        <f t="shared" si="18"/>
        <v>65</v>
      </c>
      <c r="C73" s="122" t="s">
        <v>204</v>
      </c>
      <c r="D73" s="123" t="s">
        <v>205</v>
      </c>
      <c r="E73" s="122" t="s">
        <v>133</v>
      </c>
      <c r="F73" s="100" t="s">
        <v>96</v>
      </c>
      <c r="G73" s="124"/>
      <c r="H73" s="124" t="s">
        <v>97</v>
      </c>
      <c r="I73" s="125"/>
      <c r="J73" s="126"/>
      <c r="K73" s="105">
        <v>7.2499999999999995E-2</v>
      </c>
      <c r="L73" s="127">
        <v>0.9</v>
      </c>
      <c r="M73" s="128">
        <v>10</v>
      </c>
      <c r="N73" s="128">
        <v>4</v>
      </c>
      <c r="O73" s="127">
        <v>12</v>
      </c>
      <c r="P73" s="128"/>
      <c r="Q73" s="128"/>
      <c r="R73" s="128"/>
      <c r="S73" s="128"/>
      <c r="T73" s="129"/>
      <c r="U73" s="172"/>
      <c r="V73" s="141"/>
      <c r="W73" s="128"/>
      <c r="X73" s="128"/>
      <c r="Y73" s="130"/>
      <c r="Z73" s="130"/>
      <c r="AA73" s="130"/>
      <c r="AB73" s="130"/>
      <c r="AC73" s="130"/>
      <c r="AD73" s="131"/>
      <c r="AE73" s="131"/>
      <c r="AF73" s="131"/>
      <c r="AG73" s="132"/>
      <c r="AH73" s="132"/>
      <c r="AI73" s="132"/>
      <c r="AJ73" s="132"/>
      <c r="AK73" s="132"/>
      <c r="AL73" s="111"/>
      <c r="AM73" s="111"/>
      <c r="AN73" s="111"/>
      <c r="AO73" s="111"/>
      <c r="AP73" s="111"/>
      <c r="AQ73" s="111"/>
      <c r="AR73" s="111">
        <f t="shared" si="32"/>
        <v>0</v>
      </c>
      <c r="AS73" s="111"/>
      <c r="AT73" s="111">
        <v>0</v>
      </c>
      <c r="AU73" s="111">
        <f>AR73-AT73</f>
        <v>0</v>
      </c>
      <c r="AV73" s="111"/>
      <c r="AW73" s="111"/>
      <c r="AX73" s="111"/>
      <c r="AY73" s="111"/>
      <c r="AZ73" s="111"/>
      <c r="BA73" s="111">
        <f>CL73*7.25%*0.9*3.5/12</f>
        <v>87543.75</v>
      </c>
      <c r="BB73" s="111"/>
      <c r="BC73" s="111">
        <v>74221.88</v>
      </c>
      <c r="BD73" s="111"/>
      <c r="BE73" s="111"/>
      <c r="BF73" s="111"/>
      <c r="BG73" s="111"/>
      <c r="BH73" s="111">
        <f t="shared" ref="BH73:BH136" si="35">BA73-BB73-BC73-BD73-BE73-BF73-BG73</f>
        <v>13321.869999999995</v>
      </c>
      <c r="BI73" s="111">
        <v>0</v>
      </c>
      <c r="BJ73" s="133"/>
      <c r="BK73" s="134"/>
      <c r="BL73" s="134"/>
      <c r="BM73" s="135"/>
      <c r="BN73" s="135"/>
      <c r="BO73" s="135"/>
      <c r="BP73" s="135"/>
      <c r="BQ73" s="114"/>
      <c r="BR73" s="114"/>
      <c r="BS73" s="136"/>
      <c r="BT73" s="136"/>
      <c r="BU73" s="136"/>
      <c r="BV73" s="115"/>
      <c r="BW73" s="115"/>
      <c r="BX73" s="116">
        <f t="shared" si="34"/>
        <v>0</v>
      </c>
      <c r="BY73" s="116"/>
      <c r="BZ73" s="116"/>
      <c r="CA73" s="116"/>
      <c r="CB73" s="116"/>
      <c r="CC73" s="116"/>
      <c r="CD73" s="116"/>
      <c r="CE73" s="116"/>
      <c r="CF73" s="116">
        <v>3500000</v>
      </c>
      <c r="CG73" s="116"/>
      <c r="CH73" s="116"/>
      <c r="CI73" s="116"/>
      <c r="CJ73" s="116"/>
      <c r="CK73" s="116">
        <v>0</v>
      </c>
      <c r="CL73" s="116">
        <v>4600000</v>
      </c>
      <c r="CM73" s="119" t="s">
        <v>105</v>
      </c>
      <c r="CN73" s="120" t="s">
        <v>106</v>
      </c>
    </row>
    <row r="74" spans="1:92" s="120" customFormat="1" ht="25.5" x14ac:dyDescent="0.2">
      <c r="A74" s="120">
        <f>A72+1</f>
        <v>35</v>
      </c>
      <c r="B74" s="99">
        <f t="shared" ref="B74:B137" si="36">B73+1</f>
        <v>66</v>
      </c>
      <c r="C74" s="122" t="s">
        <v>206</v>
      </c>
      <c r="D74" s="123" t="s">
        <v>207</v>
      </c>
      <c r="E74" s="122" t="s">
        <v>95</v>
      </c>
      <c r="F74" s="100" t="s">
        <v>134</v>
      </c>
      <c r="G74" s="124">
        <v>43497</v>
      </c>
      <c r="H74" s="124">
        <v>43497</v>
      </c>
      <c r="I74" s="125">
        <v>5000000</v>
      </c>
      <c r="J74" s="126">
        <v>7.7499999999999999E-2</v>
      </c>
      <c r="K74" s="105">
        <v>7.4999999999999997E-2</v>
      </c>
      <c r="L74" s="127">
        <v>0.9</v>
      </c>
      <c r="M74" s="128">
        <v>10</v>
      </c>
      <c r="N74" s="128"/>
      <c r="O74" s="127">
        <v>12</v>
      </c>
      <c r="P74" s="128">
        <f t="shared" si="5"/>
        <v>290625</v>
      </c>
      <c r="Q74" s="128">
        <f t="shared" si="6"/>
        <v>3033280.3294915948</v>
      </c>
      <c r="R74" s="128">
        <f t="shared" si="7"/>
        <v>176309.41915169894</v>
      </c>
      <c r="S74" s="128">
        <f t="shared" si="8"/>
        <v>114315.58084830106</v>
      </c>
      <c r="T74" s="129">
        <v>0.606656065898319</v>
      </c>
      <c r="U74" s="172">
        <v>4000000</v>
      </c>
      <c r="V74" s="141">
        <v>232500</v>
      </c>
      <c r="W74" s="128">
        <f t="shared" si="3"/>
        <v>-966719.67050840519</v>
      </c>
      <c r="X74" s="128">
        <f t="shared" si="3"/>
        <v>-56190.580848301062</v>
      </c>
      <c r="Y74" s="130">
        <f t="shared" si="9"/>
        <v>-966719.67050840519</v>
      </c>
      <c r="Z74" s="130">
        <f t="shared" si="9"/>
        <v>-56190.580848301062</v>
      </c>
      <c r="AA74" s="130"/>
      <c r="AB74" s="130"/>
      <c r="AC74" s="130">
        <f t="shared" si="21"/>
        <v>-56190.580848301062</v>
      </c>
      <c r="AD74" s="131">
        <v>-966719.67050840519</v>
      </c>
      <c r="AE74" s="131">
        <f t="shared" si="27"/>
        <v>-1074132.9672315614</v>
      </c>
      <c r="AF74" s="131"/>
      <c r="AG74" s="132"/>
      <c r="AH74" s="132"/>
      <c r="AI74" s="132"/>
      <c r="AJ74" s="132"/>
      <c r="AK74" s="132"/>
      <c r="AL74" s="111">
        <f t="shared" si="10"/>
        <v>-56190.580848301062</v>
      </c>
      <c r="AM74" s="111"/>
      <c r="AN74" s="111"/>
      <c r="AO74" s="111"/>
      <c r="AP74" s="111">
        <f t="shared" si="11"/>
        <v>-56190.580848301062</v>
      </c>
      <c r="AQ74" s="111"/>
      <c r="AR74" s="111">
        <f t="shared" si="32"/>
        <v>-56190.580848301062</v>
      </c>
      <c r="AS74" s="111"/>
      <c r="AT74" s="111">
        <v>0</v>
      </c>
      <c r="AU74" s="111"/>
      <c r="AV74" s="111"/>
      <c r="AW74" s="111"/>
      <c r="AX74" s="111"/>
      <c r="AY74" s="111"/>
      <c r="AZ74" s="111"/>
      <c r="BA74" s="111">
        <f t="shared" si="33"/>
        <v>0</v>
      </c>
      <c r="BB74" s="111"/>
      <c r="BC74" s="111"/>
      <c r="BD74" s="111"/>
      <c r="BE74" s="111"/>
      <c r="BF74" s="111"/>
      <c r="BG74" s="111"/>
      <c r="BH74" s="111">
        <f t="shared" si="35"/>
        <v>0</v>
      </c>
      <c r="BI74" s="111"/>
      <c r="BJ74" s="133">
        <f t="shared" si="30"/>
        <v>-1208399.5881355065</v>
      </c>
      <c r="BK74" s="134"/>
      <c r="BL74" s="134"/>
      <c r="BM74" s="135"/>
      <c r="BN74" s="135"/>
      <c r="BO74" s="135"/>
      <c r="BP74" s="135"/>
      <c r="BQ74" s="114">
        <f t="shared" si="14"/>
        <v>-1208399.5881355065</v>
      </c>
      <c r="BR74" s="114">
        <f t="shared" si="15"/>
        <v>-1381028.1007262934</v>
      </c>
      <c r="BS74" s="136"/>
      <c r="BT74" s="136"/>
      <c r="BU74" s="136"/>
      <c r="BV74" s="115">
        <f t="shared" si="16"/>
        <v>-1611199.4508473421</v>
      </c>
      <c r="BW74" s="115"/>
      <c r="BX74" s="116">
        <f t="shared" si="34"/>
        <v>-2497359.1488133804</v>
      </c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>
        <v>0</v>
      </c>
      <c r="CL74" s="116"/>
      <c r="CM74" s="119"/>
    </row>
    <row r="75" spans="1:92" s="118" customFormat="1" ht="25.5" x14ac:dyDescent="0.2">
      <c r="A75" s="98">
        <f>A74+1</f>
        <v>36</v>
      </c>
      <c r="B75" s="99">
        <f t="shared" si="36"/>
        <v>67</v>
      </c>
      <c r="C75" s="100" t="s">
        <v>208</v>
      </c>
      <c r="D75" s="101" t="s">
        <v>209</v>
      </c>
      <c r="E75" s="100" t="s">
        <v>95</v>
      </c>
      <c r="F75" s="100" t="s">
        <v>134</v>
      </c>
      <c r="G75" s="103">
        <v>43466</v>
      </c>
      <c r="H75" s="103" t="s">
        <v>158</v>
      </c>
      <c r="I75" s="104">
        <v>10000000</v>
      </c>
      <c r="J75" s="105">
        <v>7.7499999999999999E-2</v>
      </c>
      <c r="K75" s="105">
        <v>7.4999999999999997E-2</v>
      </c>
      <c r="L75" s="106">
        <v>0.9</v>
      </c>
      <c r="M75" s="107">
        <v>10</v>
      </c>
      <c r="N75" s="107">
        <v>3</v>
      </c>
      <c r="O75" s="106">
        <v>12</v>
      </c>
      <c r="P75" s="107">
        <f t="shared" si="5"/>
        <v>581250</v>
      </c>
      <c r="Q75" s="107">
        <f t="shared" si="6"/>
        <v>6066560.6589831896</v>
      </c>
      <c r="R75" s="107">
        <f t="shared" si="7"/>
        <v>352618.83830339788</v>
      </c>
      <c r="S75" s="107">
        <f t="shared" si="8"/>
        <v>228631.16169660212</v>
      </c>
      <c r="T75" s="108">
        <v>0.606656065898319</v>
      </c>
      <c r="U75" s="107"/>
      <c r="V75" s="106"/>
      <c r="W75" s="107">
        <f t="shared" si="3"/>
        <v>6066560.6589831896</v>
      </c>
      <c r="X75" s="107">
        <f t="shared" si="3"/>
        <v>352618.83830339788</v>
      </c>
      <c r="Y75" s="109">
        <f t="shared" si="9"/>
        <v>6066560.6589831896</v>
      </c>
      <c r="Z75" s="109">
        <f t="shared" si="9"/>
        <v>352618.83830339788</v>
      </c>
      <c r="AA75" s="109"/>
      <c r="AB75" s="109"/>
      <c r="AC75" s="109">
        <f t="shared" si="21"/>
        <v>352618.83830339788</v>
      </c>
      <c r="AD75" s="110">
        <v>6066560.6589831896</v>
      </c>
      <c r="AE75" s="110">
        <f t="shared" si="27"/>
        <v>6740622.9544257652</v>
      </c>
      <c r="AF75" s="110"/>
      <c r="AG75" s="111"/>
      <c r="AH75" s="111"/>
      <c r="AI75" s="111">
        <v>323133.59999999998</v>
      </c>
      <c r="AJ75" s="111"/>
      <c r="AK75" s="111"/>
      <c r="AL75" s="111">
        <f t="shared" si="10"/>
        <v>29485.238303397899</v>
      </c>
      <c r="AM75" s="111"/>
      <c r="AN75" s="111"/>
      <c r="AO75" s="111"/>
      <c r="AP75" s="111">
        <f t="shared" si="11"/>
        <v>29485.238303397899</v>
      </c>
      <c r="AQ75" s="111"/>
      <c r="AR75" s="111">
        <f t="shared" si="32"/>
        <v>29485.238303397899</v>
      </c>
      <c r="AS75" s="111"/>
      <c r="AT75" s="111">
        <v>0</v>
      </c>
      <c r="AU75" s="111">
        <f>AR75-AT75</f>
        <v>29485.238303397899</v>
      </c>
      <c r="AV75" s="111"/>
      <c r="AW75" s="111"/>
      <c r="AX75" s="111"/>
      <c r="AY75" s="111"/>
      <c r="AZ75" s="111"/>
      <c r="BA75" s="111">
        <f t="shared" si="33"/>
        <v>0</v>
      </c>
      <c r="BB75" s="111"/>
      <c r="BC75" s="111"/>
      <c r="BD75" s="111"/>
      <c r="BE75" s="111"/>
      <c r="BF75" s="111"/>
      <c r="BG75" s="111"/>
      <c r="BH75" s="111">
        <f t="shared" si="35"/>
        <v>0</v>
      </c>
      <c r="BI75" s="111"/>
      <c r="BJ75" s="112">
        <f t="shared" si="30"/>
        <v>7583200.8237289861</v>
      </c>
      <c r="BK75" s="112"/>
      <c r="BL75" s="112"/>
      <c r="BM75" s="113"/>
      <c r="BN75" s="112">
        <v>10000000</v>
      </c>
      <c r="BO75" s="112"/>
      <c r="BP75" s="112"/>
      <c r="BQ75" s="114">
        <f t="shared" si="14"/>
        <v>-2416799.1762710139</v>
      </c>
      <c r="BR75" s="114">
        <f t="shared" si="15"/>
        <v>724675.5957824369</v>
      </c>
      <c r="BS75" s="98"/>
      <c r="BT75" s="98"/>
      <c r="BU75" s="98"/>
      <c r="BV75" s="115">
        <f t="shared" si="16"/>
        <v>845454.86174617638</v>
      </c>
      <c r="BW75" s="115"/>
      <c r="BX75" s="116">
        <f t="shared" si="34"/>
        <v>1310455.0357065734</v>
      </c>
      <c r="BY75" s="116">
        <v>0</v>
      </c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>
        <v>0</v>
      </c>
      <c r="CL75" s="116">
        <v>0</v>
      </c>
      <c r="CM75" s="117" t="s">
        <v>210</v>
      </c>
      <c r="CN75" s="118" t="s">
        <v>95</v>
      </c>
    </row>
    <row r="76" spans="1:92" s="2" customFormat="1" ht="25.5" x14ac:dyDescent="0.2">
      <c r="A76" s="161"/>
      <c r="B76" s="145">
        <f t="shared" si="36"/>
        <v>68</v>
      </c>
      <c r="C76" s="148" t="s">
        <v>211</v>
      </c>
      <c r="D76" s="164" t="s">
        <v>212</v>
      </c>
      <c r="E76" s="148" t="s">
        <v>133</v>
      </c>
      <c r="F76" s="148" t="s">
        <v>96</v>
      </c>
      <c r="G76" s="149"/>
      <c r="H76" s="149" t="s">
        <v>148</v>
      </c>
      <c r="I76" s="150"/>
      <c r="J76" s="151"/>
      <c r="K76" s="151">
        <v>7.2499999999999995E-2</v>
      </c>
      <c r="L76" s="152">
        <v>0.9</v>
      </c>
      <c r="M76" s="153">
        <v>9</v>
      </c>
      <c r="N76" s="153">
        <v>2.5</v>
      </c>
      <c r="O76" s="152">
        <v>12</v>
      </c>
      <c r="P76" s="153"/>
      <c r="Q76" s="153"/>
      <c r="R76" s="153"/>
      <c r="S76" s="153"/>
      <c r="T76" s="154"/>
      <c r="U76" s="153"/>
      <c r="V76" s="152"/>
      <c r="W76" s="153"/>
      <c r="X76" s="153"/>
      <c r="Y76" s="155"/>
      <c r="Z76" s="155"/>
      <c r="AA76" s="155"/>
      <c r="AB76" s="155"/>
      <c r="AC76" s="155"/>
      <c r="AD76" s="156"/>
      <c r="AE76" s="156"/>
      <c r="AF76" s="156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>
        <f>112623.29-112623.29</f>
        <v>0</v>
      </c>
      <c r="BH76" s="83"/>
      <c r="BI76" s="83">
        <f>CK76*K76*L76*N76/O76</f>
        <v>95156.249999999985</v>
      </c>
      <c r="BJ76" s="159"/>
      <c r="BK76" s="159"/>
      <c r="BL76" s="159"/>
      <c r="BM76" s="89"/>
      <c r="BN76" s="159"/>
      <c r="BO76" s="159"/>
      <c r="BP76" s="159"/>
      <c r="BQ76" s="160"/>
      <c r="BR76" s="160"/>
      <c r="BS76" s="161"/>
      <c r="BT76" s="161"/>
      <c r="BU76" s="161"/>
      <c r="BV76" s="162"/>
      <c r="BW76" s="162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>
        <f>7000000-7000000</f>
        <v>0</v>
      </c>
      <c r="CK76" s="95">
        <v>7000000</v>
      </c>
      <c r="CL76" s="95"/>
      <c r="CM76" s="163"/>
    </row>
    <row r="77" spans="1:92" s="118" customFormat="1" ht="25.5" x14ac:dyDescent="0.2">
      <c r="A77" s="98">
        <f>A75+1</f>
        <v>37</v>
      </c>
      <c r="B77" s="99">
        <f t="shared" si="36"/>
        <v>69</v>
      </c>
      <c r="C77" s="100" t="s">
        <v>213</v>
      </c>
      <c r="D77" s="101" t="s">
        <v>214</v>
      </c>
      <c r="E77" s="100" t="s">
        <v>95</v>
      </c>
      <c r="F77" s="100" t="s">
        <v>96</v>
      </c>
      <c r="G77" s="103">
        <v>43497</v>
      </c>
      <c r="H77" s="103" t="s">
        <v>189</v>
      </c>
      <c r="I77" s="104">
        <v>15000000</v>
      </c>
      <c r="J77" s="105">
        <v>7.7499999999999999E-2</v>
      </c>
      <c r="K77" s="105">
        <v>7.4999999999999997E-2</v>
      </c>
      <c r="L77" s="106">
        <v>0.9</v>
      </c>
      <c r="M77" s="107">
        <v>10</v>
      </c>
      <c r="N77" s="107">
        <v>4</v>
      </c>
      <c r="O77" s="106">
        <v>12</v>
      </c>
      <c r="P77" s="107">
        <f t="shared" si="5"/>
        <v>871875</v>
      </c>
      <c r="Q77" s="107">
        <f t="shared" si="6"/>
        <v>9099840.9884747844</v>
      </c>
      <c r="R77" s="107">
        <f t="shared" si="7"/>
        <v>528928.25745509693</v>
      </c>
      <c r="S77" s="107">
        <f t="shared" si="8"/>
        <v>342946.74254490307</v>
      </c>
      <c r="T77" s="108">
        <v>0.606656065898319</v>
      </c>
      <c r="U77" s="107"/>
      <c r="V77" s="106"/>
      <c r="W77" s="107">
        <f t="shared" si="3"/>
        <v>9099840.9884747844</v>
      </c>
      <c r="X77" s="107">
        <f t="shared" si="3"/>
        <v>528928.25745509693</v>
      </c>
      <c r="Y77" s="109">
        <f t="shared" si="9"/>
        <v>9099840.9884747844</v>
      </c>
      <c r="Z77" s="109">
        <f t="shared" si="9"/>
        <v>528928.25745509693</v>
      </c>
      <c r="AA77" s="109">
        <v>515958.9</v>
      </c>
      <c r="AB77" s="109"/>
      <c r="AC77" s="109">
        <f t="shared" si="21"/>
        <v>12969.357455096906</v>
      </c>
      <c r="AD77" s="110">
        <v>-5900159.0115252137</v>
      </c>
      <c r="AE77" s="110">
        <f t="shared" si="27"/>
        <v>247920.81156696595</v>
      </c>
      <c r="AF77" s="110"/>
      <c r="AG77" s="111"/>
      <c r="AH77" s="111"/>
      <c r="AI77" s="111"/>
      <c r="AJ77" s="111"/>
      <c r="AK77" s="111"/>
      <c r="AL77" s="111">
        <f t="shared" si="10"/>
        <v>12969.357455096906</v>
      </c>
      <c r="AM77" s="111"/>
      <c r="AN77" s="111"/>
      <c r="AO77" s="111"/>
      <c r="AP77" s="111">
        <f t="shared" si="11"/>
        <v>12969.357455096906</v>
      </c>
      <c r="AQ77" s="111"/>
      <c r="AR77" s="111">
        <f t="shared" si="32"/>
        <v>12969.357455096906</v>
      </c>
      <c r="AS77" s="111"/>
      <c r="AT77" s="111">
        <v>0</v>
      </c>
      <c r="AU77" s="111">
        <f>AR77-AT77</f>
        <v>12969.357455096906</v>
      </c>
      <c r="AV77" s="111"/>
      <c r="AW77" s="111"/>
      <c r="AX77" s="111"/>
      <c r="AY77" s="111"/>
      <c r="AZ77" s="111"/>
      <c r="BA77" s="111">
        <f t="shared" si="33"/>
        <v>0</v>
      </c>
      <c r="BB77" s="111"/>
      <c r="BC77" s="111"/>
      <c r="BD77" s="111"/>
      <c r="BE77" s="111"/>
      <c r="BF77" s="111"/>
      <c r="BG77" s="111"/>
      <c r="BH77" s="111">
        <f t="shared" si="35"/>
        <v>0</v>
      </c>
      <c r="BI77" s="111"/>
      <c r="BJ77" s="112">
        <f t="shared" si="30"/>
        <v>278910.91301283665</v>
      </c>
      <c r="BK77" s="112"/>
      <c r="BL77" s="112"/>
      <c r="BM77" s="113"/>
      <c r="BN77" s="113"/>
      <c r="BO77" s="113"/>
      <c r="BP77" s="113"/>
      <c r="BQ77" s="114">
        <f t="shared" si="14"/>
        <v>278910.91301283665</v>
      </c>
      <c r="BR77" s="114">
        <f t="shared" si="15"/>
        <v>318755.32915752765</v>
      </c>
      <c r="BS77" s="98"/>
      <c r="BT77" s="98"/>
      <c r="BU77" s="98"/>
      <c r="BV77" s="115">
        <f t="shared" si="16"/>
        <v>371881.21735044889</v>
      </c>
      <c r="BW77" s="115"/>
      <c r="BX77" s="116">
        <f t="shared" si="34"/>
        <v>576415.8868931958</v>
      </c>
      <c r="BY77" s="116">
        <v>0</v>
      </c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>
        <v>0</v>
      </c>
      <c r="CL77" s="116">
        <v>0</v>
      </c>
      <c r="CM77" s="217" t="s">
        <v>135</v>
      </c>
      <c r="CN77" s="201" t="s">
        <v>106</v>
      </c>
    </row>
    <row r="78" spans="1:92" s="2" customFormat="1" ht="25.5" x14ac:dyDescent="0.2">
      <c r="A78" s="161"/>
      <c r="B78" s="145">
        <f t="shared" si="36"/>
        <v>70</v>
      </c>
      <c r="C78" s="148" t="s">
        <v>213</v>
      </c>
      <c r="D78" s="164" t="s">
        <v>214</v>
      </c>
      <c r="E78" s="148" t="s">
        <v>95</v>
      </c>
      <c r="F78" s="148" t="s">
        <v>96</v>
      </c>
      <c r="G78" s="149"/>
      <c r="H78" s="149" t="s">
        <v>124</v>
      </c>
      <c r="I78" s="150"/>
      <c r="J78" s="151"/>
      <c r="K78" s="151">
        <v>7.2499999999999995E-2</v>
      </c>
      <c r="L78" s="152">
        <v>0.9</v>
      </c>
      <c r="M78" s="153">
        <v>9</v>
      </c>
      <c r="N78" s="153">
        <v>2</v>
      </c>
      <c r="O78" s="152">
        <v>12</v>
      </c>
      <c r="P78" s="153"/>
      <c r="Q78" s="153"/>
      <c r="R78" s="153"/>
      <c r="S78" s="153"/>
      <c r="T78" s="154"/>
      <c r="U78" s="153"/>
      <c r="V78" s="152"/>
      <c r="W78" s="153"/>
      <c r="X78" s="153"/>
      <c r="Y78" s="155"/>
      <c r="Z78" s="155"/>
      <c r="AA78" s="155"/>
      <c r="AB78" s="155"/>
      <c r="AC78" s="155"/>
      <c r="AD78" s="156"/>
      <c r="AE78" s="156"/>
      <c r="AF78" s="156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>
        <f>CK78*K78*L78*N78/O78</f>
        <v>163125</v>
      </c>
      <c r="BJ78" s="159"/>
      <c r="BK78" s="159"/>
      <c r="BL78" s="159"/>
      <c r="BM78" s="89"/>
      <c r="BN78" s="89"/>
      <c r="BO78" s="89"/>
      <c r="BP78" s="89"/>
      <c r="BQ78" s="160"/>
      <c r="BR78" s="160"/>
      <c r="BS78" s="161"/>
      <c r="BT78" s="161"/>
      <c r="BU78" s="161"/>
      <c r="BV78" s="162"/>
      <c r="BW78" s="162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>
        <v>15000000</v>
      </c>
      <c r="CL78" s="95">
        <v>15000000</v>
      </c>
      <c r="CM78" s="170"/>
      <c r="CN78" s="171"/>
    </row>
    <row r="79" spans="1:92" s="120" customFormat="1" ht="25.5" x14ac:dyDescent="0.2">
      <c r="A79" s="98">
        <f>A77+1</f>
        <v>38</v>
      </c>
      <c r="B79" s="99">
        <f t="shared" si="36"/>
        <v>71</v>
      </c>
      <c r="C79" s="122" t="s">
        <v>215</v>
      </c>
      <c r="D79" s="123" t="s">
        <v>216</v>
      </c>
      <c r="E79" s="122" t="s">
        <v>95</v>
      </c>
      <c r="F79" s="100" t="s">
        <v>96</v>
      </c>
      <c r="G79" s="124">
        <v>43525</v>
      </c>
      <c r="H79" s="124">
        <v>43525</v>
      </c>
      <c r="I79" s="125">
        <v>3000000</v>
      </c>
      <c r="J79" s="126">
        <v>7.7499999999999999E-2</v>
      </c>
      <c r="K79" s="105">
        <v>7.4999999999999997E-2</v>
      </c>
      <c r="L79" s="127">
        <v>0.9</v>
      </c>
      <c r="M79" s="128">
        <v>9</v>
      </c>
      <c r="N79" s="128"/>
      <c r="O79" s="127">
        <v>12</v>
      </c>
      <c r="P79" s="128">
        <f t="shared" si="5"/>
        <v>156937.5</v>
      </c>
      <c r="Q79" s="128">
        <f t="shared" si="6"/>
        <v>1819968.197694957</v>
      </c>
      <c r="R79" s="128">
        <f t="shared" si="7"/>
        <v>95207.086341917442</v>
      </c>
      <c r="S79" s="128">
        <f t="shared" si="8"/>
        <v>61730.413658082558</v>
      </c>
      <c r="T79" s="129">
        <v>0.606656065898319</v>
      </c>
      <c r="U79" s="172">
        <v>3000000</v>
      </c>
      <c r="V79" s="141">
        <v>174375</v>
      </c>
      <c r="W79" s="128">
        <f t="shared" si="3"/>
        <v>-1180031.802305043</v>
      </c>
      <c r="X79" s="128">
        <f t="shared" si="3"/>
        <v>-79167.913658082558</v>
      </c>
      <c r="Y79" s="130">
        <f t="shared" si="9"/>
        <v>-1180031.802305043</v>
      </c>
      <c r="Z79" s="130">
        <f t="shared" si="9"/>
        <v>-79167.913658082558</v>
      </c>
      <c r="AA79" s="130"/>
      <c r="AB79" s="130"/>
      <c r="AC79" s="130">
        <f t="shared" si="21"/>
        <v>-79167.913658082558</v>
      </c>
      <c r="AD79" s="131">
        <v>-1362028.6220745388</v>
      </c>
      <c r="AE79" s="131">
        <f t="shared" si="27"/>
        <v>-1513365.1356383762</v>
      </c>
      <c r="AF79" s="131"/>
      <c r="AG79" s="132"/>
      <c r="AH79" s="132"/>
      <c r="AI79" s="132"/>
      <c r="AJ79" s="132"/>
      <c r="AK79" s="132"/>
      <c r="AL79" s="111">
        <f t="shared" si="10"/>
        <v>-79167.913658082558</v>
      </c>
      <c r="AM79" s="111"/>
      <c r="AN79" s="111"/>
      <c r="AO79" s="111"/>
      <c r="AP79" s="111">
        <f t="shared" si="11"/>
        <v>-79167.913658082558</v>
      </c>
      <c r="AQ79" s="111"/>
      <c r="AR79" s="111">
        <f t="shared" si="32"/>
        <v>-79167.913658082558</v>
      </c>
      <c r="AS79" s="111"/>
      <c r="AT79" s="111">
        <v>0</v>
      </c>
      <c r="AU79" s="111"/>
      <c r="AV79" s="111"/>
      <c r="AW79" s="111"/>
      <c r="AX79" s="111"/>
      <c r="AY79" s="111"/>
      <c r="AZ79" s="111"/>
      <c r="BA79" s="111">
        <f t="shared" si="33"/>
        <v>0</v>
      </c>
      <c r="BB79" s="111"/>
      <c r="BC79" s="111"/>
      <c r="BD79" s="111"/>
      <c r="BE79" s="111"/>
      <c r="BF79" s="111"/>
      <c r="BG79" s="111"/>
      <c r="BH79" s="111">
        <f t="shared" si="35"/>
        <v>0</v>
      </c>
      <c r="BI79" s="111"/>
      <c r="BJ79" s="133">
        <f t="shared" si="30"/>
        <v>-1702535.7775931736</v>
      </c>
      <c r="BK79" s="134"/>
      <c r="BL79" s="134"/>
      <c r="BM79" s="135"/>
      <c r="BN79" s="135"/>
      <c r="BO79" s="135"/>
      <c r="BP79" s="135"/>
      <c r="BQ79" s="114">
        <f t="shared" si="14"/>
        <v>-1702535.7775931736</v>
      </c>
      <c r="BR79" s="114">
        <f t="shared" si="15"/>
        <v>-1945755.1743921982</v>
      </c>
      <c r="BS79" s="136"/>
      <c r="BT79" s="136"/>
      <c r="BU79" s="136"/>
      <c r="BV79" s="115">
        <f t="shared" si="16"/>
        <v>-2270047.7034575646</v>
      </c>
      <c r="BW79" s="115"/>
      <c r="BX79" s="116">
        <f t="shared" si="34"/>
        <v>-3518573.9403592255</v>
      </c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>
        <v>0</v>
      </c>
      <c r="CL79" s="116"/>
      <c r="CM79" s="119" t="s">
        <v>217</v>
      </c>
    </row>
    <row r="80" spans="1:92" s="120" customFormat="1" ht="25.5" x14ac:dyDescent="0.2">
      <c r="A80" s="98">
        <f t="shared" ref="A80:A81" si="37">A79+1</f>
        <v>39</v>
      </c>
      <c r="B80" s="99">
        <f t="shared" si="36"/>
        <v>72</v>
      </c>
      <c r="C80" s="122" t="s">
        <v>218</v>
      </c>
      <c r="D80" s="123" t="s">
        <v>219</v>
      </c>
      <c r="E80" s="122" t="s">
        <v>95</v>
      </c>
      <c r="F80" s="100" t="s">
        <v>96</v>
      </c>
      <c r="G80" s="124">
        <v>43525</v>
      </c>
      <c r="H80" s="124">
        <v>43525</v>
      </c>
      <c r="I80" s="125">
        <v>3000000</v>
      </c>
      <c r="J80" s="126">
        <v>7.7499999999999999E-2</v>
      </c>
      <c r="K80" s="105">
        <v>7.4999999999999997E-2</v>
      </c>
      <c r="L80" s="127">
        <v>0.9</v>
      </c>
      <c r="M80" s="128">
        <v>9</v>
      </c>
      <c r="N80" s="128"/>
      <c r="O80" s="127">
        <v>12</v>
      </c>
      <c r="P80" s="128">
        <f t="shared" si="5"/>
        <v>156937.5</v>
      </c>
      <c r="Q80" s="128">
        <f t="shared" si="6"/>
        <v>1819968.197694957</v>
      </c>
      <c r="R80" s="128">
        <f t="shared" si="7"/>
        <v>95207.086341917442</v>
      </c>
      <c r="S80" s="128">
        <f t="shared" si="8"/>
        <v>61730.413658082558</v>
      </c>
      <c r="T80" s="129">
        <v>0.606656065898319</v>
      </c>
      <c r="U80" s="128"/>
      <c r="V80" s="127"/>
      <c r="W80" s="128">
        <f t="shared" si="3"/>
        <v>1819968.197694957</v>
      </c>
      <c r="X80" s="128">
        <f t="shared" si="3"/>
        <v>95207.086341917442</v>
      </c>
      <c r="Y80" s="130">
        <f t="shared" si="9"/>
        <v>1819968.197694957</v>
      </c>
      <c r="Z80" s="130">
        <f t="shared" si="9"/>
        <v>95207.086341917442</v>
      </c>
      <c r="AA80" s="130">
        <v>94936.44</v>
      </c>
      <c r="AB80" s="130"/>
      <c r="AC80" s="130">
        <f t="shared" si="21"/>
        <v>270.64634191743971</v>
      </c>
      <c r="AD80" s="131">
        <v>-1162028.6220745386</v>
      </c>
      <c r="AE80" s="131">
        <f t="shared" si="27"/>
        <v>5173.645723630867</v>
      </c>
      <c r="AF80" s="131"/>
      <c r="AG80" s="132"/>
      <c r="AH80" s="132"/>
      <c r="AI80" s="132"/>
      <c r="AJ80" s="132"/>
      <c r="AK80" s="132"/>
      <c r="AL80" s="111">
        <f t="shared" si="10"/>
        <v>270.64634191743971</v>
      </c>
      <c r="AM80" s="111"/>
      <c r="AN80" s="111"/>
      <c r="AO80" s="111"/>
      <c r="AP80" s="111">
        <f t="shared" si="11"/>
        <v>270.64634191743971</v>
      </c>
      <c r="AQ80" s="111"/>
      <c r="AR80" s="111">
        <f t="shared" si="32"/>
        <v>270.64634191743971</v>
      </c>
      <c r="AS80" s="111"/>
      <c r="AT80" s="111">
        <v>0</v>
      </c>
      <c r="AU80" s="111">
        <f t="shared" ref="AU80:AU105" si="38">AR80-AT80</f>
        <v>270.64634191743971</v>
      </c>
      <c r="AV80" s="111"/>
      <c r="AW80" s="111"/>
      <c r="AX80" s="111"/>
      <c r="AY80" s="111"/>
      <c r="AZ80" s="111"/>
      <c r="BA80" s="111">
        <f t="shared" si="33"/>
        <v>0</v>
      </c>
      <c r="BB80" s="111"/>
      <c r="BC80" s="111"/>
      <c r="BD80" s="111"/>
      <c r="BE80" s="111"/>
      <c r="BF80" s="111"/>
      <c r="BG80" s="111"/>
      <c r="BH80" s="111">
        <f t="shared" si="35"/>
        <v>0</v>
      </c>
      <c r="BI80" s="111"/>
      <c r="BJ80" s="112">
        <f t="shared" si="30"/>
        <v>5820.3514390847249</v>
      </c>
      <c r="BK80" s="134"/>
      <c r="BL80" s="134"/>
      <c r="BM80" s="135"/>
      <c r="BN80" s="135"/>
      <c r="BO80" s="135"/>
      <c r="BP80" s="135"/>
      <c r="BQ80" s="114">
        <f t="shared" si="14"/>
        <v>5820.3514390847249</v>
      </c>
      <c r="BR80" s="114">
        <f t="shared" si="15"/>
        <v>6651.8302160968278</v>
      </c>
      <c r="BS80" s="136"/>
      <c r="BT80" s="136"/>
      <c r="BU80" s="136"/>
      <c r="BV80" s="115">
        <f t="shared" si="16"/>
        <v>7760.4685854462987</v>
      </c>
      <c r="BW80" s="115"/>
      <c r="BX80" s="116">
        <f t="shared" si="34"/>
        <v>12028.726307441766</v>
      </c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>
        <v>0</v>
      </c>
      <c r="CL80" s="116"/>
      <c r="CM80" s="119"/>
    </row>
    <row r="81" spans="1:92" s="120" customFormat="1" ht="25.5" x14ac:dyDescent="0.2">
      <c r="A81" s="365">
        <f t="shared" si="37"/>
        <v>40</v>
      </c>
      <c r="B81" s="99">
        <f t="shared" si="36"/>
        <v>73</v>
      </c>
      <c r="C81" s="122" t="s">
        <v>220</v>
      </c>
      <c r="D81" s="123" t="s">
        <v>221</v>
      </c>
      <c r="E81" s="122" t="s">
        <v>161</v>
      </c>
      <c r="F81" s="100" t="s">
        <v>134</v>
      </c>
      <c r="G81" s="124">
        <v>43497</v>
      </c>
      <c r="H81" s="124">
        <v>43497</v>
      </c>
      <c r="I81" s="125">
        <v>30000000</v>
      </c>
      <c r="J81" s="126">
        <v>7.7499999999999999E-2</v>
      </c>
      <c r="K81" s="105">
        <v>7.4999999999999997E-2</v>
      </c>
      <c r="L81" s="127">
        <v>0.9</v>
      </c>
      <c r="M81" s="128">
        <v>10</v>
      </c>
      <c r="N81" s="128"/>
      <c r="O81" s="127">
        <v>12</v>
      </c>
      <c r="P81" s="128">
        <f t="shared" si="5"/>
        <v>1743750</v>
      </c>
      <c r="Q81" s="128">
        <f t="shared" si="6"/>
        <v>18199681.976949569</v>
      </c>
      <c r="R81" s="128">
        <f t="shared" si="7"/>
        <v>1057856.5149101939</v>
      </c>
      <c r="S81" s="128">
        <f t="shared" si="8"/>
        <v>685893.48508980614</v>
      </c>
      <c r="T81" s="129">
        <v>0.606656065898319</v>
      </c>
      <c r="U81" s="128"/>
      <c r="V81" s="127"/>
      <c r="W81" s="128">
        <f t="shared" si="3"/>
        <v>18199681.976949569</v>
      </c>
      <c r="X81" s="128">
        <f t="shared" si="3"/>
        <v>1057856.5149101939</v>
      </c>
      <c r="Y81" s="130">
        <f t="shared" si="9"/>
        <v>18199681.976949569</v>
      </c>
      <c r="Z81" s="130">
        <f t="shared" si="9"/>
        <v>1057856.5149101939</v>
      </c>
      <c r="AA81" s="130">
        <f>1743749.99-AA82</f>
        <v>1057856.51</v>
      </c>
      <c r="AB81" s="130"/>
      <c r="AC81" s="130">
        <f t="shared" si="21"/>
        <v>4.9101938493549824E-3</v>
      </c>
      <c r="AD81" s="131">
        <v>3062755.5914583802</v>
      </c>
      <c r="AE81" s="131">
        <f t="shared" si="27"/>
        <v>9.3862725913595846E-2</v>
      </c>
      <c r="AF81" s="131"/>
      <c r="AG81" s="132"/>
      <c r="AH81" s="132"/>
      <c r="AI81" s="132"/>
      <c r="AJ81" s="132"/>
      <c r="AK81" s="132"/>
      <c r="AL81" s="111">
        <f t="shared" si="10"/>
        <v>4.9101938493549824E-3</v>
      </c>
      <c r="AM81" s="111"/>
      <c r="AN81" s="111"/>
      <c r="AO81" s="111"/>
      <c r="AP81" s="111">
        <f t="shared" si="11"/>
        <v>4.9101938493549824E-3</v>
      </c>
      <c r="AQ81" s="111"/>
      <c r="AR81" s="111">
        <f t="shared" si="32"/>
        <v>4.9101938493549824E-3</v>
      </c>
      <c r="AS81" s="111"/>
      <c r="AT81" s="111">
        <v>0</v>
      </c>
      <c r="AU81" s="111">
        <f t="shared" si="38"/>
        <v>4.9101938493549824E-3</v>
      </c>
      <c r="AV81" s="111"/>
      <c r="AW81" s="111"/>
      <c r="AX81" s="111"/>
      <c r="AY81" s="111"/>
      <c r="AZ81" s="111"/>
      <c r="BA81" s="111">
        <f t="shared" si="33"/>
        <v>0</v>
      </c>
      <c r="BB81" s="111"/>
      <c r="BC81" s="111"/>
      <c r="BD81" s="111"/>
      <c r="BE81" s="111"/>
      <c r="BF81" s="111"/>
      <c r="BG81" s="111"/>
      <c r="BH81" s="111">
        <f t="shared" si="35"/>
        <v>0</v>
      </c>
      <c r="BI81" s="111"/>
      <c r="BJ81" s="112">
        <f t="shared" si="30"/>
        <v>0.10559556665279532</v>
      </c>
      <c r="BK81" s="134"/>
      <c r="BL81" s="134"/>
      <c r="BM81" s="135"/>
      <c r="BN81" s="135"/>
      <c r="BO81" s="135"/>
      <c r="BP81" s="135"/>
      <c r="BQ81" s="114">
        <f t="shared" si="14"/>
        <v>0.10559556665279532</v>
      </c>
      <c r="BR81" s="114">
        <f t="shared" si="15"/>
        <v>0.12068064760319466</v>
      </c>
      <c r="BS81" s="136"/>
      <c r="BT81" s="136"/>
      <c r="BU81" s="136"/>
      <c r="BV81" s="115">
        <f t="shared" si="16"/>
        <v>0.14079408887039377</v>
      </c>
      <c r="BW81" s="115"/>
      <c r="BX81" s="116">
        <f t="shared" si="34"/>
        <v>0.21823083774911034</v>
      </c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>
        <v>0</v>
      </c>
      <c r="CL81" s="116"/>
      <c r="CM81" s="119"/>
    </row>
    <row r="82" spans="1:92" s="2" customFormat="1" ht="28.5" customHeight="1" x14ac:dyDescent="0.2">
      <c r="A82" s="246"/>
      <c r="B82" s="145">
        <f t="shared" si="36"/>
        <v>74</v>
      </c>
      <c r="C82" s="148" t="s">
        <v>220</v>
      </c>
      <c r="D82" s="164" t="s">
        <v>221</v>
      </c>
      <c r="E82" s="148" t="s">
        <v>161</v>
      </c>
      <c r="F82" s="165" t="s">
        <v>134</v>
      </c>
      <c r="G82" s="149">
        <v>43586</v>
      </c>
      <c r="H82" s="149" t="s">
        <v>97</v>
      </c>
      <c r="I82" s="150">
        <v>35000000</v>
      </c>
      <c r="J82" s="151">
        <v>7.7499999999999999E-2</v>
      </c>
      <c r="K82" s="76">
        <v>7.2499999999999995E-2</v>
      </c>
      <c r="L82" s="152">
        <v>0.9</v>
      </c>
      <c r="M82" s="153">
        <v>7</v>
      </c>
      <c r="N82" s="153">
        <v>2.5</v>
      </c>
      <c r="O82" s="152">
        <v>12</v>
      </c>
      <c r="P82" s="153">
        <f t="shared" si="5"/>
        <v>1424062.5</v>
      </c>
      <c r="Q82" s="153">
        <f t="shared" si="6"/>
        <v>21232962.306441166</v>
      </c>
      <c r="R82" s="153">
        <f t="shared" si="7"/>
        <v>863916.15384332498</v>
      </c>
      <c r="S82" s="153">
        <f t="shared" si="8"/>
        <v>560146.34615667502</v>
      </c>
      <c r="T82" s="154">
        <v>0.606656065898319</v>
      </c>
      <c r="U82" s="153"/>
      <c r="V82" s="152"/>
      <c r="W82" s="153">
        <f t="shared" si="3"/>
        <v>21232962.306441166</v>
      </c>
      <c r="X82" s="153">
        <f t="shared" si="3"/>
        <v>863916.15384332498</v>
      </c>
      <c r="Y82" s="155">
        <f t="shared" si="9"/>
        <v>21232962.306441166</v>
      </c>
      <c r="Z82" s="155">
        <f t="shared" si="9"/>
        <v>863916.15384332498</v>
      </c>
      <c r="AA82" s="169">
        <v>685893.48</v>
      </c>
      <c r="AB82" s="169"/>
      <c r="AC82" s="155">
        <f t="shared" si="21"/>
        <v>178022.673843325</v>
      </c>
      <c r="AD82" s="156">
        <v>0</v>
      </c>
      <c r="AE82" s="156">
        <f t="shared" si="27"/>
        <v>3403061.8655832731</v>
      </c>
      <c r="AF82" s="156"/>
      <c r="AG82" s="83"/>
      <c r="AH82" s="83"/>
      <c r="AI82" s="83"/>
      <c r="AJ82" s="83"/>
      <c r="AK82" s="84"/>
      <c r="AL82" s="82">
        <f t="shared" si="10"/>
        <v>178022.673843325</v>
      </c>
      <c r="AM82" s="82"/>
      <c r="AN82" s="82"/>
      <c r="AO82" s="82"/>
      <c r="AP82" s="82">
        <f t="shared" si="11"/>
        <v>178022.673843325</v>
      </c>
      <c r="AQ82" s="82">
        <v>143550</v>
      </c>
      <c r="AR82" s="82">
        <f t="shared" si="32"/>
        <v>34472.673843324999</v>
      </c>
      <c r="AS82" s="82"/>
      <c r="AT82" s="82">
        <v>34472.673900000002</v>
      </c>
      <c r="AU82" s="85">
        <f t="shared" si="38"/>
        <v>-5.6675002269912511E-5</v>
      </c>
      <c r="AV82" s="85"/>
      <c r="AW82" s="86"/>
      <c r="AX82" s="86"/>
      <c r="AY82" s="85">
        <v>672660</v>
      </c>
      <c r="AZ82" s="85">
        <v>543750</v>
      </c>
      <c r="BA82" s="85">
        <f t="shared" si="33"/>
        <v>128910</v>
      </c>
      <c r="BB82" s="85"/>
      <c r="BC82" s="85"/>
      <c r="BD82" s="85"/>
      <c r="BE82" s="85"/>
      <c r="BF82" s="85"/>
      <c r="BG82" s="85"/>
      <c r="BH82" s="85">
        <f t="shared" si="35"/>
        <v>128910</v>
      </c>
      <c r="BI82" s="85">
        <f>CK82*K82*L82*N82/O82</f>
        <v>66555</v>
      </c>
      <c r="BJ82" s="159">
        <f t="shared" si="30"/>
        <v>3828444.5987811824</v>
      </c>
      <c r="BK82" s="159"/>
      <c r="BL82" s="159"/>
      <c r="BM82" s="89"/>
      <c r="BN82" s="89"/>
      <c r="BO82" s="89"/>
      <c r="BP82" s="90"/>
      <c r="BQ82" s="91">
        <f t="shared" si="14"/>
        <v>3828444.5987811824</v>
      </c>
      <c r="BR82" s="91">
        <f t="shared" si="15"/>
        <v>4375365.2557499222</v>
      </c>
      <c r="BS82" s="161"/>
      <c r="BT82" s="161"/>
      <c r="BU82" s="161"/>
      <c r="BV82" s="92">
        <f t="shared" si="16"/>
        <v>5104592.7983749099</v>
      </c>
      <c r="BW82" s="92">
        <v>5104000</v>
      </c>
      <c r="BX82" s="93">
        <f t="shared" si="34"/>
        <v>1584950.521532184</v>
      </c>
      <c r="BY82" s="93">
        <f>AT82/K82/L82/N82*O82</f>
        <v>2535920.8386206897</v>
      </c>
      <c r="BZ82" s="93"/>
      <c r="CA82" s="94"/>
      <c r="CB82" s="94"/>
      <c r="CC82" s="94">
        <v>25000000</v>
      </c>
      <c r="CD82" s="94">
        <f>29896000-25000000</f>
        <v>4896000</v>
      </c>
      <c r="CE82" s="94"/>
      <c r="CF82" s="94"/>
      <c r="CG82" s="94"/>
      <c r="CH82" s="94"/>
      <c r="CI82" s="94"/>
      <c r="CJ82" s="94"/>
      <c r="CK82" s="95">
        <v>4896000</v>
      </c>
      <c r="CL82" s="144">
        <v>60104000</v>
      </c>
      <c r="CM82" s="167" t="s">
        <v>135</v>
      </c>
      <c r="CN82" s="247" t="s">
        <v>109</v>
      </c>
    </row>
    <row r="83" spans="1:92" s="120" customFormat="1" ht="25.5" x14ac:dyDescent="0.2">
      <c r="A83" s="120">
        <f>A81+1</f>
        <v>41</v>
      </c>
      <c r="B83" s="99">
        <f t="shared" si="36"/>
        <v>75</v>
      </c>
      <c r="C83" s="122" t="s">
        <v>222</v>
      </c>
      <c r="D83" s="123" t="s">
        <v>223</v>
      </c>
      <c r="E83" s="122" t="s">
        <v>95</v>
      </c>
      <c r="F83" s="100" t="s">
        <v>134</v>
      </c>
      <c r="G83" s="124">
        <v>43497</v>
      </c>
      <c r="H83" s="124">
        <v>43497</v>
      </c>
      <c r="I83" s="125">
        <v>12000000</v>
      </c>
      <c r="J83" s="126">
        <v>7.7499999999999999E-2</v>
      </c>
      <c r="K83" s="105">
        <v>7.4999999999999997E-2</v>
      </c>
      <c r="L83" s="127">
        <v>0.9</v>
      </c>
      <c r="M83" s="128">
        <v>10</v>
      </c>
      <c r="N83" s="128"/>
      <c r="O83" s="127">
        <v>12</v>
      </c>
      <c r="P83" s="128">
        <f t="shared" si="5"/>
        <v>697500</v>
      </c>
      <c r="Q83" s="128">
        <f t="shared" si="6"/>
        <v>7279872.7907798281</v>
      </c>
      <c r="R83" s="128">
        <f t="shared" si="7"/>
        <v>423142.60596407746</v>
      </c>
      <c r="S83" s="128">
        <f t="shared" si="8"/>
        <v>274357.39403592254</v>
      </c>
      <c r="T83" s="129">
        <v>0.606656065898319</v>
      </c>
      <c r="U83" s="128"/>
      <c r="V83" s="127"/>
      <c r="W83" s="128">
        <f t="shared" si="3"/>
        <v>7279872.7907798281</v>
      </c>
      <c r="X83" s="128">
        <f t="shared" si="3"/>
        <v>423142.60596407746</v>
      </c>
      <c r="Y83" s="130">
        <f t="shared" si="9"/>
        <v>7279872.7907798281</v>
      </c>
      <c r="Z83" s="130">
        <f t="shared" si="9"/>
        <v>423142.60596407746</v>
      </c>
      <c r="AA83" s="130">
        <f>871874.98-AA84-AA85</f>
        <v>423142.61</v>
      </c>
      <c r="AB83" s="130"/>
      <c r="AC83" s="130">
        <f t="shared" si="21"/>
        <v>-4.0359225240536034E-3</v>
      </c>
      <c r="AD83" s="131">
        <v>45070.434278307483</v>
      </c>
      <c r="AE83" s="131">
        <f t="shared" si="27"/>
        <v>-7.7150251355863383E-2</v>
      </c>
      <c r="AF83" s="131"/>
      <c r="AG83" s="132"/>
      <c r="AH83" s="132"/>
      <c r="AI83" s="132"/>
      <c r="AJ83" s="132"/>
      <c r="AK83" s="132"/>
      <c r="AL83" s="111">
        <f t="shared" si="10"/>
        <v>-4.0359225240536034E-3</v>
      </c>
      <c r="AM83" s="111"/>
      <c r="AN83" s="111"/>
      <c r="AO83" s="111"/>
      <c r="AP83" s="111">
        <f t="shared" si="11"/>
        <v>-4.0359225240536034E-3</v>
      </c>
      <c r="AQ83" s="111"/>
      <c r="AR83" s="111">
        <f t="shared" si="32"/>
        <v>-4.0359225240536034E-3</v>
      </c>
      <c r="AS83" s="111"/>
      <c r="AT83" s="111">
        <v>0</v>
      </c>
      <c r="AU83" s="111">
        <f t="shared" si="38"/>
        <v>-4.0359225240536034E-3</v>
      </c>
      <c r="AV83" s="111"/>
      <c r="AW83" s="111"/>
      <c r="AX83" s="111"/>
      <c r="AY83" s="111"/>
      <c r="AZ83" s="111"/>
      <c r="BA83" s="111">
        <f t="shared" si="33"/>
        <v>0</v>
      </c>
      <c r="BB83" s="111"/>
      <c r="BC83" s="111"/>
      <c r="BD83" s="111"/>
      <c r="BE83" s="111"/>
      <c r="BF83" s="111"/>
      <c r="BG83" s="111"/>
      <c r="BH83" s="111">
        <f t="shared" si="35"/>
        <v>0</v>
      </c>
      <c r="BI83" s="111"/>
      <c r="BJ83" s="133">
        <f t="shared" si="30"/>
        <v>-8.6794032775346308E-2</v>
      </c>
      <c r="BK83" s="134"/>
      <c r="BL83" s="134"/>
      <c r="BM83" s="135"/>
      <c r="BN83" s="135"/>
      <c r="BO83" s="135"/>
      <c r="BP83" s="135"/>
      <c r="BQ83" s="114">
        <f t="shared" si="14"/>
        <v>-8.6794032775346308E-2</v>
      </c>
      <c r="BR83" s="114">
        <f t="shared" si="15"/>
        <v>-9.9193180314681481E-2</v>
      </c>
      <c r="BS83" s="136"/>
      <c r="BT83" s="136"/>
      <c r="BU83" s="136"/>
      <c r="BV83" s="115">
        <f t="shared" si="16"/>
        <v>-0.11572537703379507</v>
      </c>
      <c r="BW83" s="115"/>
      <c r="BX83" s="116">
        <f t="shared" si="34"/>
        <v>-0.17937433440238237</v>
      </c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>
        <v>0</v>
      </c>
      <c r="CL83" s="116"/>
      <c r="CM83" s="119"/>
    </row>
    <row r="84" spans="1:92" s="177" customFormat="1" ht="25.5" x14ac:dyDescent="0.2">
      <c r="B84" s="99">
        <f t="shared" si="36"/>
        <v>76</v>
      </c>
      <c r="C84" s="179" t="s">
        <v>222</v>
      </c>
      <c r="D84" s="180" t="s">
        <v>223</v>
      </c>
      <c r="E84" s="179" t="s">
        <v>161</v>
      </c>
      <c r="F84" s="179" t="s">
        <v>134</v>
      </c>
      <c r="G84" s="173">
        <v>43525</v>
      </c>
      <c r="H84" s="173" t="s">
        <v>97</v>
      </c>
      <c r="I84" s="181">
        <v>12000000</v>
      </c>
      <c r="J84" s="182">
        <v>7.7499999999999999E-2</v>
      </c>
      <c r="K84" s="182">
        <v>7.4999999999999997E-2</v>
      </c>
      <c r="L84" s="183">
        <v>0.9</v>
      </c>
      <c r="M84" s="184">
        <v>9</v>
      </c>
      <c r="N84" s="184">
        <v>0</v>
      </c>
      <c r="O84" s="183">
        <v>12</v>
      </c>
      <c r="P84" s="184">
        <f t="shared" si="5"/>
        <v>627750</v>
      </c>
      <c r="Q84" s="184">
        <f t="shared" si="6"/>
        <v>7279872.7907798281</v>
      </c>
      <c r="R84" s="184">
        <f t="shared" si="7"/>
        <v>380828.34536766977</v>
      </c>
      <c r="S84" s="184">
        <f t="shared" si="8"/>
        <v>246921.65463233023</v>
      </c>
      <c r="T84" s="185">
        <v>0.606656065898319</v>
      </c>
      <c r="U84" s="184"/>
      <c r="V84" s="183"/>
      <c r="W84" s="184">
        <f t="shared" si="3"/>
        <v>7279872.7907798281</v>
      </c>
      <c r="X84" s="184">
        <f t="shared" si="3"/>
        <v>380828.34536766977</v>
      </c>
      <c r="Y84" s="186">
        <f t="shared" si="9"/>
        <v>7279872.7907798281</v>
      </c>
      <c r="Z84" s="186">
        <f t="shared" si="9"/>
        <v>380828.34536766977</v>
      </c>
      <c r="AA84" s="228">
        <v>378208.6</v>
      </c>
      <c r="AB84" s="228"/>
      <c r="AC84" s="186">
        <f t="shared" si="21"/>
        <v>2619.7453676697914</v>
      </c>
      <c r="AD84" s="187">
        <v>0</v>
      </c>
      <c r="AE84" s="187">
        <f t="shared" si="27"/>
        <v>50078.764495479889</v>
      </c>
      <c r="AF84" s="187"/>
      <c r="AG84" s="188"/>
      <c r="AH84" s="188"/>
      <c r="AI84" s="188"/>
      <c r="AJ84" s="188"/>
      <c r="AK84" s="188"/>
      <c r="AL84" s="188">
        <f t="shared" si="10"/>
        <v>2619.7453676697914</v>
      </c>
      <c r="AM84" s="188"/>
      <c r="AN84" s="188"/>
      <c r="AO84" s="188"/>
      <c r="AP84" s="188">
        <f t="shared" ref="AP84:AP166" si="39">AL84-AM84-AN84-AO84</f>
        <v>2619.7453676697914</v>
      </c>
      <c r="AQ84" s="188"/>
      <c r="AR84" s="188">
        <f t="shared" si="32"/>
        <v>2619.7453676697914</v>
      </c>
      <c r="AS84" s="188"/>
      <c r="AT84" s="188">
        <v>0</v>
      </c>
      <c r="AU84" s="188">
        <f t="shared" si="38"/>
        <v>2619.7453676697914</v>
      </c>
      <c r="AV84" s="188"/>
      <c r="AW84" s="188"/>
      <c r="AX84" s="188"/>
      <c r="AY84" s="188"/>
      <c r="AZ84" s="188"/>
      <c r="BA84" s="188">
        <f t="shared" si="33"/>
        <v>0</v>
      </c>
      <c r="BB84" s="188"/>
      <c r="BC84" s="188"/>
      <c r="BD84" s="188"/>
      <c r="BE84" s="188"/>
      <c r="BF84" s="188"/>
      <c r="BG84" s="188">
        <v>146812.5</v>
      </c>
      <c r="BH84" s="188">
        <f t="shared" si="35"/>
        <v>-146812.5</v>
      </c>
      <c r="BI84" s="188"/>
      <c r="BJ84" s="189">
        <f t="shared" si="30"/>
        <v>56338.610057414873</v>
      </c>
      <c r="BK84" s="189"/>
      <c r="BL84" s="189"/>
      <c r="BM84" s="190"/>
      <c r="BN84" s="190"/>
      <c r="BO84" s="190"/>
      <c r="BP84" s="190"/>
      <c r="BQ84" s="191">
        <f t="shared" si="14"/>
        <v>56338.610057414873</v>
      </c>
      <c r="BR84" s="191">
        <f t="shared" ref="BR84:BR166" si="40">AL84/J84/L84/7*O84</f>
        <v>64386.982922759853</v>
      </c>
      <c r="BS84" s="192"/>
      <c r="BT84" s="192"/>
      <c r="BU84" s="192"/>
      <c r="BV84" s="193">
        <f t="shared" ref="BV84:BV166" si="41">AP84/J84/L84/6*O84</f>
        <v>75118.146743219826</v>
      </c>
      <c r="BW84" s="193"/>
      <c r="BX84" s="194">
        <f t="shared" si="34"/>
        <v>116433.12745199073</v>
      </c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>
        <v>9000000</v>
      </c>
      <c r="CK84" s="194">
        <f>9000000-9000000</f>
        <v>0</v>
      </c>
      <c r="CL84" s="194"/>
      <c r="CM84" s="195"/>
    </row>
    <row r="85" spans="1:92" s="248" customFormat="1" ht="25.5" x14ac:dyDescent="0.2">
      <c r="B85" s="145">
        <f t="shared" si="36"/>
        <v>77</v>
      </c>
      <c r="C85" s="249" t="s">
        <v>222</v>
      </c>
      <c r="D85" s="250" t="s">
        <v>223</v>
      </c>
      <c r="E85" s="249" t="s">
        <v>161</v>
      </c>
      <c r="F85" s="249" t="s">
        <v>134</v>
      </c>
      <c r="G85" s="251">
        <v>43739</v>
      </c>
      <c r="H85" s="251">
        <v>43739</v>
      </c>
      <c r="I85" s="252">
        <v>10000000</v>
      </c>
      <c r="J85" s="253">
        <v>7.7499999999999999E-2</v>
      </c>
      <c r="K85" s="151">
        <v>7.2499999999999995E-2</v>
      </c>
      <c r="L85" s="254">
        <v>0.9</v>
      </c>
      <c r="M85" s="255">
        <v>2</v>
      </c>
      <c r="N85" s="255">
        <v>2</v>
      </c>
      <c r="O85" s="254">
        <v>12</v>
      </c>
      <c r="P85" s="255">
        <f t="shared" si="5"/>
        <v>116250</v>
      </c>
      <c r="Q85" s="255">
        <f t="shared" si="6"/>
        <v>6066560.6589831896</v>
      </c>
      <c r="R85" s="255">
        <f t="shared" si="7"/>
        <v>70523.767660679572</v>
      </c>
      <c r="S85" s="255">
        <f t="shared" si="8"/>
        <v>45726.232339320428</v>
      </c>
      <c r="T85" s="256">
        <v>0.606656065898319</v>
      </c>
      <c r="U85" s="255"/>
      <c r="V85" s="254"/>
      <c r="W85" s="255">
        <f t="shared" ref="W85:X170" si="42">Q85-U85</f>
        <v>6066560.6589831896</v>
      </c>
      <c r="X85" s="255">
        <f t="shared" si="42"/>
        <v>70523.767660679572</v>
      </c>
      <c r="Y85" s="257">
        <f t="shared" ref="Y85:Z170" si="43">SUM(W85)</f>
        <v>6066560.6589831896</v>
      </c>
      <c r="Z85" s="257">
        <f t="shared" si="43"/>
        <v>70523.767660679572</v>
      </c>
      <c r="AA85" s="258">
        <v>70523.77</v>
      </c>
      <c r="AB85" s="258"/>
      <c r="AC85" s="257">
        <f t="shared" si="21"/>
        <v>-2.3393204319290817E-3</v>
      </c>
      <c r="AD85" s="259">
        <v>0</v>
      </c>
      <c r="AE85" s="259">
        <f t="shared" si="27"/>
        <v>-4.4718192247150901E-2</v>
      </c>
      <c r="AF85" s="259"/>
      <c r="AG85" s="229"/>
      <c r="AH85" s="229"/>
      <c r="AI85" s="229"/>
      <c r="AJ85" s="229"/>
      <c r="AK85" s="229"/>
      <c r="AL85" s="229">
        <f t="shared" ref="AL85:AL167" si="44">AC85+AG85-AF85-AH85-AI85-AJ85-AK85</f>
        <v>-2.3393204319290817E-3</v>
      </c>
      <c r="AM85" s="229"/>
      <c r="AN85" s="229"/>
      <c r="AO85" s="229"/>
      <c r="AP85" s="229">
        <f t="shared" si="39"/>
        <v>-2.3393204319290817E-3</v>
      </c>
      <c r="AQ85" s="229"/>
      <c r="AR85" s="229">
        <f t="shared" si="32"/>
        <v>-2.3393204319290817E-3</v>
      </c>
      <c r="AS85" s="229"/>
      <c r="AT85" s="229">
        <v>0</v>
      </c>
      <c r="AU85" s="229">
        <f t="shared" si="38"/>
        <v>-2.3393204319290817E-3</v>
      </c>
      <c r="AV85" s="229"/>
      <c r="AW85" s="229"/>
      <c r="AX85" s="229"/>
      <c r="AY85" s="229"/>
      <c r="AZ85" s="229"/>
      <c r="BA85" s="229">
        <f t="shared" si="33"/>
        <v>0</v>
      </c>
      <c r="BB85" s="229"/>
      <c r="BC85" s="229"/>
      <c r="BD85" s="229"/>
      <c r="BE85" s="229"/>
      <c r="BF85" s="229"/>
      <c r="BG85" s="229"/>
      <c r="BH85" s="229">
        <f t="shared" si="35"/>
        <v>0</v>
      </c>
      <c r="BI85" s="83">
        <f>CK85*K85*L85*N85/O85</f>
        <v>108750</v>
      </c>
      <c r="BJ85" s="260">
        <f t="shared" si="30"/>
        <v>-5.0307966278044763E-2</v>
      </c>
      <c r="BK85" s="260"/>
      <c r="BL85" s="260"/>
      <c r="BM85" s="261"/>
      <c r="BN85" s="261"/>
      <c r="BO85" s="261"/>
      <c r="BP85" s="261"/>
      <c r="BQ85" s="262">
        <f t="shared" ref="BQ85:BQ167" si="45">BJ85-BK85+BL85-BM85-BN85-BO85-BP85</f>
        <v>-5.0307966278044763E-2</v>
      </c>
      <c r="BR85" s="262">
        <f t="shared" si="40"/>
        <v>-5.7494818603479728E-2</v>
      </c>
      <c r="BS85" s="263"/>
      <c r="BT85" s="263"/>
      <c r="BU85" s="263"/>
      <c r="BV85" s="264">
        <f t="shared" si="41"/>
        <v>-6.7077288370726351E-2</v>
      </c>
      <c r="BW85" s="264"/>
      <c r="BX85" s="265">
        <f t="shared" si="34"/>
        <v>-0.10755496238754399</v>
      </c>
      <c r="BY85" s="265"/>
      <c r="BZ85" s="265"/>
      <c r="CA85" s="265"/>
      <c r="CB85" s="265"/>
      <c r="CC85" s="265"/>
      <c r="CD85" s="265"/>
      <c r="CE85" s="265"/>
      <c r="CF85" s="265"/>
      <c r="CG85" s="265"/>
      <c r="CH85" s="265"/>
      <c r="CI85" s="265"/>
      <c r="CJ85" s="265"/>
      <c r="CK85" s="265">
        <v>10000000</v>
      </c>
      <c r="CL85" s="95">
        <v>10000000</v>
      </c>
      <c r="CM85" s="170" t="s">
        <v>135</v>
      </c>
      <c r="CN85" s="171" t="s">
        <v>165</v>
      </c>
    </row>
    <row r="86" spans="1:92" s="2" customFormat="1" ht="25.5" x14ac:dyDescent="0.2">
      <c r="A86" s="2">
        <f>A83+1</f>
        <v>42</v>
      </c>
      <c r="B86" s="145">
        <f t="shared" si="36"/>
        <v>78</v>
      </c>
      <c r="C86" s="148" t="s">
        <v>224</v>
      </c>
      <c r="D86" s="164" t="s">
        <v>225</v>
      </c>
      <c r="E86" s="148" t="s">
        <v>95</v>
      </c>
      <c r="F86" s="148" t="s">
        <v>96</v>
      </c>
      <c r="G86" s="149">
        <v>43497</v>
      </c>
      <c r="H86" s="149" t="s">
        <v>148</v>
      </c>
      <c r="I86" s="150">
        <v>25000000</v>
      </c>
      <c r="J86" s="151">
        <v>7.7499999999999999E-2</v>
      </c>
      <c r="K86" s="151">
        <v>7.2499999999999995E-2</v>
      </c>
      <c r="L86" s="152">
        <v>0.9</v>
      </c>
      <c r="M86" s="153">
        <v>10</v>
      </c>
      <c r="N86" s="153">
        <v>2.5</v>
      </c>
      <c r="O86" s="152">
        <v>12</v>
      </c>
      <c r="P86" s="153">
        <f>I86*J86*L86*M86/O86</f>
        <v>1453125</v>
      </c>
      <c r="Q86" s="153">
        <f t="shared" ref="Q86:Q171" si="46">I86*0.606656065898319</f>
        <v>15166401.647457974</v>
      </c>
      <c r="R86" s="153">
        <f t="shared" ref="R86:R171" si="47">Q86*J86*L86*M86/O86</f>
        <v>881547.09575849457</v>
      </c>
      <c r="S86" s="153">
        <f t="shared" ref="S86:S171" si="48">P86-R86</f>
        <v>571577.90424150543</v>
      </c>
      <c r="T86" s="154">
        <v>0.606656065898319</v>
      </c>
      <c r="U86" s="153"/>
      <c r="V86" s="152"/>
      <c r="W86" s="153">
        <f t="shared" si="42"/>
        <v>15166401.647457974</v>
      </c>
      <c r="X86" s="153">
        <f t="shared" si="42"/>
        <v>881547.09575849457</v>
      </c>
      <c r="Y86" s="155">
        <f t="shared" si="43"/>
        <v>15166401.647457974</v>
      </c>
      <c r="Z86" s="155">
        <f t="shared" si="43"/>
        <v>881547.09575849457</v>
      </c>
      <c r="AA86" s="155">
        <v>871875</v>
      </c>
      <c r="AB86" s="155"/>
      <c r="AC86" s="155">
        <f t="shared" si="21"/>
        <v>9672.0957584945718</v>
      </c>
      <c r="AD86" s="156">
        <v>166401.64745797031</v>
      </c>
      <c r="AE86" s="156">
        <f t="shared" si="27"/>
        <v>184890.71939774568</v>
      </c>
      <c r="AF86" s="156"/>
      <c r="AG86" s="83"/>
      <c r="AH86" s="83"/>
      <c r="AI86" s="83"/>
      <c r="AJ86" s="83"/>
      <c r="AK86" s="83"/>
      <c r="AL86" s="83">
        <f t="shared" si="44"/>
        <v>9672.0957584945718</v>
      </c>
      <c r="AM86" s="83"/>
      <c r="AN86" s="83"/>
      <c r="AO86" s="83"/>
      <c r="AP86" s="83">
        <f t="shared" si="39"/>
        <v>9672.0957584945718</v>
      </c>
      <c r="AQ86" s="83"/>
      <c r="AR86" s="83">
        <f t="shared" si="32"/>
        <v>9672.0957584945718</v>
      </c>
      <c r="AS86" s="83"/>
      <c r="AT86" s="83">
        <v>9672.0956999999999</v>
      </c>
      <c r="AU86" s="83">
        <f t="shared" si="38"/>
        <v>5.8494571931078099E-5</v>
      </c>
      <c r="AV86" s="83"/>
      <c r="AW86" s="83"/>
      <c r="AX86" s="83"/>
      <c r="AY86" s="83">
        <v>225000</v>
      </c>
      <c r="AZ86" s="83"/>
      <c r="BA86" s="83">
        <f t="shared" si="33"/>
        <v>225000</v>
      </c>
      <c r="BB86" s="83"/>
      <c r="BC86" s="83"/>
      <c r="BD86" s="83"/>
      <c r="BE86" s="83"/>
      <c r="BF86" s="83"/>
      <c r="BG86" s="83"/>
      <c r="BH86" s="83">
        <f t="shared" si="35"/>
        <v>225000</v>
      </c>
      <c r="BI86" s="83">
        <f>CK86*K86*L86*N86/O86</f>
        <v>135937.5</v>
      </c>
      <c r="BJ86" s="159">
        <f t="shared" si="30"/>
        <v>208002.05932246387</v>
      </c>
      <c r="BK86" s="159"/>
      <c r="BL86" s="159"/>
      <c r="BM86" s="89"/>
      <c r="BN86" s="89"/>
      <c r="BO86" s="89"/>
      <c r="BP86" s="89"/>
      <c r="BQ86" s="160">
        <f t="shared" si="45"/>
        <v>208002.05932246387</v>
      </c>
      <c r="BR86" s="160">
        <f t="shared" si="40"/>
        <v>237716.63922567305</v>
      </c>
      <c r="BS86" s="161"/>
      <c r="BT86" s="161"/>
      <c r="BU86" s="161"/>
      <c r="BV86" s="162">
        <f t="shared" si="41"/>
        <v>277336.07909661852</v>
      </c>
      <c r="BW86" s="162"/>
      <c r="BX86" s="95">
        <f t="shared" si="34"/>
        <v>444694.05786181946</v>
      </c>
      <c r="BY86" s="95">
        <v>429870.92</v>
      </c>
      <c r="BZ86" s="95"/>
      <c r="CA86" s="95"/>
      <c r="CB86" s="95"/>
      <c r="CC86" s="95"/>
      <c r="CD86" s="95">
        <v>10000000</v>
      </c>
      <c r="CE86" s="95"/>
      <c r="CF86" s="95"/>
      <c r="CG86" s="95"/>
      <c r="CH86" s="95"/>
      <c r="CI86" s="95"/>
      <c r="CJ86" s="95"/>
      <c r="CK86" s="265">
        <v>10000000</v>
      </c>
      <c r="CL86" s="95">
        <v>10000000</v>
      </c>
      <c r="CM86" s="163"/>
      <c r="CN86" s="2" t="s">
        <v>95</v>
      </c>
    </row>
    <row r="87" spans="1:92" s="2" customFormat="1" ht="25.5" x14ac:dyDescent="0.2">
      <c r="B87" s="145">
        <f t="shared" si="36"/>
        <v>79</v>
      </c>
      <c r="C87" s="148" t="s">
        <v>224</v>
      </c>
      <c r="D87" s="164" t="s">
        <v>225</v>
      </c>
      <c r="E87" s="148" t="s">
        <v>95</v>
      </c>
      <c r="F87" s="148" t="s">
        <v>96</v>
      </c>
      <c r="G87" s="149"/>
      <c r="H87" s="149" t="s">
        <v>124</v>
      </c>
      <c r="I87" s="150">
        <v>0</v>
      </c>
      <c r="J87" s="151"/>
      <c r="K87" s="151">
        <v>7.2499999999999995E-2</v>
      </c>
      <c r="L87" s="254">
        <v>0.9</v>
      </c>
      <c r="M87" s="255">
        <v>2</v>
      </c>
      <c r="N87" s="255">
        <v>2</v>
      </c>
      <c r="O87" s="254">
        <v>12</v>
      </c>
      <c r="P87" s="153"/>
      <c r="Q87" s="153"/>
      <c r="R87" s="153"/>
      <c r="S87" s="153"/>
      <c r="T87" s="154"/>
      <c r="U87" s="153"/>
      <c r="V87" s="152"/>
      <c r="W87" s="153"/>
      <c r="X87" s="153"/>
      <c r="Y87" s="155"/>
      <c r="Z87" s="155"/>
      <c r="AA87" s="155"/>
      <c r="AB87" s="155"/>
      <c r="AC87" s="155"/>
      <c r="AD87" s="156"/>
      <c r="AE87" s="156"/>
      <c r="AF87" s="156"/>
      <c r="AG87" s="83"/>
      <c r="AH87" s="83"/>
      <c r="AI87" s="83"/>
      <c r="AJ87" s="83"/>
      <c r="AK87" s="83"/>
      <c r="AL87" s="83"/>
      <c r="AM87" s="83"/>
      <c r="AN87" s="375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>
        <f>CK87*K87*L87*N87/O87</f>
        <v>108750</v>
      </c>
      <c r="BJ87" s="159"/>
      <c r="BK87" s="159"/>
      <c r="BL87" s="159"/>
      <c r="BM87" s="89"/>
      <c r="BN87" s="89"/>
      <c r="BO87" s="89"/>
      <c r="BP87" s="89"/>
      <c r="BQ87" s="160"/>
      <c r="BR87" s="160"/>
      <c r="BS87" s="161"/>
      <c r="BT87" s="161"/>
      <c r="BU87" s="161"/>
      <c r="BV87" s="162"/>
      <c r="BW87" s="162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265">
        <v>10000000</v>
      </c>
      <c r="CL87" s="95"/>
      <c r="CM87" s="163" t="s">
        <v>226</v>
      </c>
    </row>
    <row r="88" spans="1:92" s="118" customFormat="1" ht="25.5" x14ac:dyDescent="0.2">
      <c r="A88" s="118">
        <f>A86+1</f>
        <v>43</v>
      </c>
      <c r="B88" s="99">
        <f t="shared" si="36"/>
        <v>80</v>
      </c>
      <c r="C88" s="100" t="s">
        <v>227</v>
      </c>
      <c r="D88" s="101" t="s">
        <v>228</v>
      </c>
      <c r="E88" s="100" t="s">
        <v>95</v>
      </c>
      <c r="F88" s="100" t="s">
        <v>96</v>
      </c>
      <c r="G88" s="103">
        <v>43497</v>
      </c>
      <c r="H88" s="103" t="s">
        <v>229</v>
      </c>
      <c r="I88" s="104">
        <v>130000000</v>
      </c>
      <c r="J88" s="105">
        <v>7.7499999999999999E-2</v>
      </c>
      <c r="K88" s="105">
        <v>7.4999999999999997E-2</v>
      </c>
      <c r="L88" s="106">
        <v>0.9</v>
      </c>
      <c r="M88" s="107">
        <v>10</v>
      </c>
      <c r="N88" s="107"/>
      <c r="O88" s="106">
        <v>12</v>
      </c>
      <c r="P88" s="107">
        <f>I88*J88*L88*M88/O88</f>
        <v>7556250</v>
      </c>
      <c r="Q88" s="107">
        <f t="shared" si="46"/>
        <v>78865288.566781476</v>
      </c>
      <c r="R88" s="107">
        <f t="shared" si="47"/>
        <v>4584044.8979441728</v>
      </c>
      <c r="S88" s="107">
        <f t="shared" si="48"/>
        <v>2972205.1020558272</v>
      </c>
      <c r="T88" s="108">
        <v>0.606656065898319</v>
      </c>
      <c r="U88" s="266">
        <v>50000000</v>
      </c>
      <c r="V88" s="267">
        <v>2906250</v>
      </c>
      <c r="W88" s="107">
        <f t="shared" si="42"/>
        <v>28865288.566781476</v>
      </c>
      <c r="X88" s="107">
        <f t="shared" si="42"/>
        <v>1677794.8979441728</v>
      </c>
      <c r="Y88" s="109">
        <f t="shared" si="43"/>
        <v>28865288.566781476</v>
      </c>
      <c r="Z88" s="109">
        <f t="shared" si="43"/>
        <v>1677794.8979441728</v>
      </c>
      <c r="AA88" s="109"/>
      <c r="AB88" s="109"/>
      <c r="AC88" s="109">
        <f t="shared" si="21"/>
        <v>1677794.8979441728</v>
      </c>
      <c r="AD88" s="110">
        <v>40998409.884747848</v>
      </c>
      <c r="AE88" s="110">
        <f t="shared" si="27"/>
        <v>32072542.851979405</v>
      </c>
      <c r="AF88" s="110"/>
      <c r="AG88" s="111"/>
      <c r="AH88" s="111"/>
      <c r="AI88" s="111"/>
      <c r="AJ88" s="111"/>
      <c r="AK88" s="111"/>
      <c r="AL88" s="111">
        <f t="shared" si="44"/>
        <v>1677794.8979441728</v>
      </c>
      <c r="AM88" s="111"/>
      <c r="AN88" s="268">
        <v>1677794.9</v>
      </c>
      <c r="AO88" s="269"/>
      <c r="AP88" s="111">
        <f t="shared" si="39"/>
        <v>-2.0558270625770092E-3</v>
      </c>
      <c r="AQ88" s="111"/>
      <c r="AR88" s="111">
        <f t="shared" si="32"/>
        <v>-2.0558270625770092E-3</v>
      </c>
      <c r="AS88" s="111"/>
      <c r="AT88" s="111">
        <v>0</v>
      </c>
      <c r="AU88" s="111">
        <f t="shared" si="38"/>
        <v>-2.0558270625770092E-3</v>
      </c>
      <c r="AV88" s="111"/>
      <c r="AW88" s="111"/>
      <c r="AX88" s="111"/>
      <c r="AY88" s="111"/>
      <c r="AZ88" s="111"/>
      <c r="BA88" s="111">
        <f t="shared" si="33"/>
        <v>0</v>
      </c>
      <c r="BB88" s="111"/>
      <c r="BC88" s="111"/>
      <c r="BD88" s="111"/>
      <c r="BE88" s="111"/>
      <c r="BF88" s="111"/>
      <c r="BG88" s="111"/>
      <c r="BH88" s="111">
        <f t="shared" si="35"/>
        <v>0</v>
      </c>
      <c r="BI88" s="111"/>
      <c r="BJ88" s="112">
        <f t="shared" si="30"/>
        <v>36081610.708476827</v>
      </c>
      <c r="BK88" s="112"/>
      <c r="BL88" s="112"/>
      <c r="BM88" s="113"/>
      <c r="BN88" s="113"/>
      <c r="BO88" s="113"/>
      <c r="BP88" s="113"/>
      <c r="BQ88" s="114">
        <f t="shared" si="45"/>
        <v>36081610.708476827</v>
      </c>
      <c r="BR88" s="114">
        <f t="shared" si="40"/>
        <v>41236126.523973525</v>
      </c>
      <c r="BS88" s="98"/>
      <c r="BT88" s="270">
        <f>AN88/7.75%/0.9/6*12</f>
        <v>48108814.336917557</v>
      </c>
      <c r="BU88" s="98"/>
      <c r="BV88" s="115">
        <f t="shared" si="41"/>
        <v>-5.8948446238767285E-2</v>
      </c>
      <c r="BW88" s="115"/>
      <c r="BX88" s="116">
        <f t="shared" si="34"/>
        <v>-9.1370091670089304E-2</v>
      </c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>
        <v>0</v>
      </c>
      <c r="CL88" s="116"/>
      <c r="CM88" s="117"/>
    </row>
    <row r="89" spans="1:92" s="118" customFormat="1" ht="25.5" x14ac:dyDescent="0.2">
      <c r="B89" s="99">
        <f t="shared" si="36"/>
        <v>81</v>
      </c>
      <c r="C89" s="100" t="s">
        <v>227</v>
      </c>
      <c r="D89" s="101" t="s">
        <v>228</v>
      </c>
      <c r="E89" s="100" t="s">
        <v>95</v>
      </c>
      <c r="F89" s="100" t="s">
        <v>96</v>
      </c>
      <c r="G89" s="103">
        <v>43497</v>
      </c>
      <c r="H89" s="103" t="s">
        <v>148</v>
      </c>
      <c r="I89" s="104">
        <v>20000000</v>
      </c>
      <c r="J89" s="105">
        <v>7.7499999999999999E-2</v>
      </c>
      <c r="K89" s="105">
        <v>7.4999999999999997E-2</v>
      </c>
      <c r="L89" s="106">
        <v>0.9</v>
      </c>
      <c r="M89" s="107">
        <v>10</v>
      </c>
      <c r="N89" s="107">
        <v>3</v>
      </c>
      <c r="O89" s="106">
        <v>12</v>
      </c>
      <c r="P89" s="107">
        <f>I89*J89*L89*M89/O89</f>
        <v>1162500</v>
      </c>
      <c r="Q89" s="107">
        <f t="shared" si="46"/>
        <v>12133121.317966379</v>
      </c>
      <c r="R89" s="107">
        <f t="shared" si="47"/>
        <v>705237.67660679575</v>
      </c>
      <c r="S89" s="107">
        <f t="shared" si="48"/>
        <v>457262.32339320425</v>
      </c>
      <c r="T89" s="108">
        <v>0.606656065898319</v>
      </c>
      <c r="U89" s="266"/>
      <c r="V89" s="267"/>
      <c r="W89" s="107">
        <f t="shared" si="42"/>
        <v>12133121.317966379</v>
      </c>
      <c r="X89" s="107">
        <f t="shared" si="42"/>
        <v>705237.67660679575</v>
      </c>
      <c r="Y89" s="109">
        <f t="shared" si="43"/>
        <v>12133121.317966379</v>
      </c>
      <c r="Z89" s="109">
        <f t="shared" si="43"/>
        <v>705237.67660679575</v>
      </c>
      <c r="AA89" s="109"/>
      <c r="AB89" s="109"/>
      <c r="AC89" s="109">
        <f>Z89-AA89-AB89</f>
        <v>705237.67660679575</v>
      </c>
      <c r="AD89" s="110">
        <v>40998410.884747803</v>
      </c>
      <c r="AE89" s="110">
        <f t="shared" si="27"/>
        <v>13481245.90885153</v>
      </c>
      <c r="AF89" s="110"/>
      <c r="AG89" s="111"/>
      <c r="AH89" s="111"/>
      <c r="AI89" s="111"/>
      <c r="AJ89" s="111"/>
      <c r="AK89" s="111"/>
      <c r="AL89" s="111">
        <f t="shared" si="44"/>
        <v>705237.67660679575</v>
      </c>
      <c r="AM89" s="111"/>
      <c r="AN89" s="271">
        <f>1743750-1677794.9</f>
        <v>65955.100000000093</v>
      </c>
      <c r="AO89" s="272"/>
      <c r="AP89" s="111">
        <f t="shared" si="39"/>
        <v>639282.57660679566</v>
      </c>
      <c r="AQ89" s="111"/>
      <c r="AR89" s="111">
        <f t="shared" si="32"/>
        <v>639282.57660679566</v>
      </c>
      <c r="AS89" s="111"/>
      <c r="AT89" s="111">
        <v>639282.57659999991</v>
      </c>
      <c r="AU89" s="111">
        <f t="shared" si="38"/>
        <v>6.7957444116473198E-6</v>
      </c>
      <c r="AV89" s="111"/>
      <c r="AW89" s="111"/>
      <c r="AX89" s="111"/>
      <c r="AY89" s="111">
        <v>639282.57999999996</v>
      </c>
      <c r="AZ89" s="111"/>
      <c r="BA89" s="111">
        <f t="shared" si="33"/>
        <v>639282.57999999996</v>
      </c>
      <c r="BB89" s="111"/>
      <c r="BC89" s="111"/>
      <c r="BD89" s="111"/>
      <c r="BE89" s="111"/>
      <c r="BF89" s="111"/>
      <c r="BG89" s="111">
        <v>616612.5</v>
      </c>
      <c r="BH89" s="111">
        <f t="shared" si="35"/>
        <v>22670.079999999958</v>
      </c>
      <c r="BI89" s="111">
        <f>CK89*7.25%*0.9*3/12</f>
        <v>0</v>
      </c>
      <c r="BJ89" s="112">
        <f t="shared" si="30"/>
        <v>15166401.647457972</v>
      </c>
      <c r="BK89" s="112"/>
      <c r="BL89" s="112"/>
      <c r="BM89" s="113"/>
      <c r="BN89" s="113"/>
      <c r="BO89" s="113"/>
      <c r="BP89" s="113"/>
      <c r="BQ89" s="114">
        <f t="shared" si="45"/>
        <v>15166401.647457972</v>
      </c>
      <c r="BR89" s="114">
        <f t="shared" si="40"/>
        <v>17333030.454237685</v>
      </c>
      <c r="BS89" s="98"/>
      <c r="BT89" s="270">
        <f>AN89/7.75%/0.9/6*12</f>
        <v>1891185.6630824399</v>
      </c>
      <c r="BU89" s="98"/>
      <c r="BV89" s="115">
        <f t="shared" si="41"/>
        <v>18330683.200194858</v>
      </c>
      <c r="BW89" s="115"/>
      <c r="BX89" s="116">
        <f t="shared" si="34"/>
        <v>28412558.960302033</v>
      </c>
      <c r="BY89" s="116">
        <f>AT89/K89/L89/N89*O89</f>
        <v>37883411.946666665</v>
      </c>
      <c r="BZ89" s="116"/>
      <c r="CA89" s="116"/>
      <c r="CB89" s="116"/>
      <c r="CC89" s="116"/>
      <c r="CD89" s="116">
        <v>37883411.950000003</v>
      </c>
      <c r="CE89" s="116"/>
      <c r="CF89" s="116"/>
      <c r="CG89" s="116"/>
      <c r="CH89" s="116"/>
      <c r="CI89" s="116"/>
      <c r="CJ89" s="116">
        <v>37800000</v>
      </c>
      <c r="CK89" s="116">
        <f>37800000-37800000</f>
        <v>0</v>
      </c>
      <c r="CL89" s="116">
        <v>50000000</v>
      </c>
      <c r="CM89" s="217" t="s">
        <v>135</v>
      </c>
      <c r="CN89" s="201" t="s">
        <v>230</v>
      </c>
    </row>
    <row r="90" spans="1:92" s="118" customFormat="1" ht="25.5" x14ac:dyDescent="0.2">
      <c r="A90" s="118">
        <f>A88+1</f>
        <v>44</v>
      </c>
      <c r="B90" s="99">
        <f t="shared" si="36"/>
        <v>82</v>
      </c>
      <c r="C90" s="100" t="s">
        <v>231</v>
      </c>
      <c r="D90" s="101" t="s">
        <v>232</v>
      </c>
      <c r="E90" s="100" t="s">
        <v>95</v>
      </c>
      <c r="F90" s="100" t="s">
        <v>96</v>
      </c>
      <c r="G90" s="103">
        <v>43497</v>
      </c>
      <c r="H90" s="218" t="s">
        <v>171</v>
      </c>
      <c r="I90" s="104">
        <v>20000000</v>
      </c>
      <c r="J90" s="105">
        <v>7.7499999999999999E-2</v>
      </c>
      <c r="K90" s="105">
        <v>7.4999999999999997E-2</v>
      </c>
      <c r="L90" s="106">
        <v>0.9</v>
      </c>
      <c r="M90" s="107">
        <v>10</v>
      </c>
      <c r="N90" s="107"/>
      <c r="O90" s="106">
        <v>12</v>
      </c>
      <c r="P90" s="107">
        <f>I90*J90*L90*M90/O90</f>
        <v>1162500</v>
      </c>
      <c r="Q90" s="107">
        <f t="shared" si="46"/>
        <v>12133121.317966379</v>
      </c>
      <c r="R90" s="107">
        <f t="shared" si="47"/>
        <v>705237.67660679575</v>
      </c>
      <c r="S90" s="107">
        <f t="shared" si="48"/>
        <v>457262.32339320425</v>
      </c>
      <c r="T90" s="108">
        <v>0.606656065898319</v>
      </c>
      <c r="U90" s="107"/>
      <c r="V90" s="106"/>
      <c r="W90" s="107">
        <f t="shared" si="42"/>
        <v>12133121.317966379</v>
      </c>
      <c r="X90" s="107">
        <f t="shared" si="42"/>
        <v>705237.67660679575</v>
      </c>
      <c r="Y90" s="109">
        <f t="shared" si="43"/>
        <v>12133121.317966379</v>
      </c>
      <c r="Z90" s="109">
        <f t="shared" si="43"/>
        <v>705237.67660679575</v>
      </c>
      <c r="AA90" s="109">
        <v>663867.12</v>
      </c>
      <c r="AB90" s="109"/>
      <c r="AC90" s="109">
        <f t="shared" ref="AC90:AC174" si="49">Z90-AA90-AB90</f>
        <v>41370.556606795755</v>
      </c>
      <c r="AD90" s="110">
        <v>-2866878.6820336208</v>
      </c>
      <c r="AE90" s="110">
        <f t="shared" si="27"/>
        <v>790835.01279418403</v>
      </c>
      <c r="AF90" s="110"/>
      <c r="AG90" s="111">
        <v>-41370.559999999998</v>
      </c>
      <c r="AH90" s="111"/>
      <c r="AI90" s="111"/>
      <c r="AJ90" s="111"/>
      <c r="AK90" s="111"/>
      <c r="AL90" s="111">
        <f t="shared" si="44"/>
        <v>-3.3932042424567044E-3</v>
      </c>
      <c r="AM90" s="111"/>
      <c r="AN90" s="111"/>
      <c r="AO90" s="111"/>
      <c r="AP90" s="111">
        <f t="shared" si="39"/>
        <v>-3.3932042424567044E-3</v>
      </c>
      <c r="AQ90" s="111"/>
      <c r="AR90" s="111">
        <f t="shared" si="32"/>
        <v>-3.3932042424567044E-3</v>
      </c>
      <c r="AS90" s="111"/>
      <c r="AT90" s="111">
        <v>0</v>
      </c>
      <c r="AU90" s="111">
        <f t="shared" si="38"/>
        <v>-3.3932042424567044E-3</v>
      </c>
      <c r="AV90" s="111"/>
      <c r="AW90" s="111"/>
      <c r="AX90" s="111"/>
      <c r="AY90" s="111"/>
      <c r="AZ90" s="111"/>
      <c r="BA90" s="111">
        <f t="shared" si="33"/>
        <v>0</v>
      </c>
      <c r="BB90" s="111"/>
      <c r="BC90" s="111"/>
      <c r="BD90" s="111"/>
      <c r="BE90" s="111"/>
      <c r="BF90" s="111"/>
      <c r="BG90" s="111"/>
      <c r="BH90" s="111">
        <f t="shared" si="35"/>
        <v>0</v>
      </c>
      <c r="BI90" s="111"/>
      <c r="BJ90" s="112">
        <f t="shared" si="30"/>
        <v>889689.38939345698</v>
      </c>
      <c r="BK90" s="112"/>
      <c r="BL90" s="133">
        <v>-889689.39</v>
      </c>
      <c r="BM90" s="113"/>
      <c r="BN90" s="113"/>
      <c r="BO90" s="113"/>
      <c r="BP90" s="113"/>
      <c r="BQ90" s="114">
        <f t="shared" si="45"/>
        <v>-6.0654303524643183E-4</v>
      </c>
      <c r="BR90" s="114">
        <f t="shared" si="40"/>
        <v>-8.339672485300656E-2</v>
      </c>
      <c r="BS90" s="98"/>
      <c r="BT90" s="98"/>
      <c r="BU90" s="98"/>
      <c r="BV90" s="115">
        <f t="shared" si="41"/>
        <v>-9.7296178995174315E-2</v>
      </c>
      <c r="BW90" s="115"/>
      <c r="BX90" s="116">
        <f t="shared" si="34"/>
        <v>-0.1508090774425202</v>
      </c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>
        <v>0</v>
      </c>
      <c r="CL90" s="116"/>
      <c r="CM90" s="217"/>
      <c r="CN90" s="201"/>
    </row>
    <row r="91" spans="1:92" s="177" customFormat="1" ht="25.5" x14ac:dyDescent="0.2">
      <c r="B91" s="99">
        <f t="shared" si="36"/>
        <v>83</v>
      </c>
      <c r="C91" s="100" t="s">
        <v>231</v>
      </c>
      <c r="D91" s="180"/>
      <c r="E91" s="179" t="s">
        <v>133</v>
      </c>
      <c r="F91" s="179"/>
      <c r="G91" s="173"/>
      <c r="H91" s="173" t="s">
        <v>196</v>
      </c>
      <c r="I91" s="181"/>
      <c r="J91" s="182"/>
      <c r="K91" s="105">
        <v>7.4999999999999997E-2</v>
      </c>
      <c r="L91" s="106">
        <v>0.9</v>
      </c>
      <c r="M91" s="107">
        <v>10</v>
      </c>
      <c r="N91" s="107">
        <v>4</v>
      </c>
      <c r="O91" s="106">
        <v>12</v>
      </c>
      <c r="P91" s="184"/>
      <c r="Q91" s="184"/>
      <c r="R91" s="184"/>
      <c r="S91" s="184"/>
      <c r="T91" s="185"/>
      <c r="U91" s="184"/>
      <c r="V91" s="183"/>
      <c r="W91" s="184"/>
      <c r="X91" s="184"/>
      <c r="Y91" s="186"/>
      <c r="Z91" s="186"/>
      <c r="AA91" s="186"/>
      <c r="AB91" s="186"/>
      <c r="AC91" s="186"/>
      <c r="AD91" s="187"/>
      <c r="AE91" s="187"/>
      <c r="AF91" s="187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11">
        <f t="shared" si="32"/>
        <v>0</v>
      </c>
      <c r="AS91" s="111"/>
      <c r="AT91" s="111">
        <v>0</v>
      </c>
      <c r="AU91" s="111">
        <f t="shared" si="38"/>
        <v>0</v>
      </c>
      <c r="AV91" s="111"/>
      <c r="AW91" s="111"/>
      <c r="AX91" s="111">
        <v>206789</v>
      </c>
      <c r="AY91" s="111">
        <v>0</v>
      </c>
      <c r="AZ91" s="111"/>
      <c r="BA91" s="85">
        <f t="shared" si="33"/>
        <v>0</v>
      </c>
      <c r="BB91" s="85"/>
      <c r="BC91" s="85"/>
      <c r="BD91" s="85"/>
      <c r="BE91" s="85"/>
      <c r="BF91" s="85"/>
      <c r="BG91" s="85"/>
      <c r="BH91" s="111">
        <f t="shared" si="35"/>
        <v>0</v>
      </c>
      <c r="BI91" s="111"/>
      <c r="BJ91" s="189"/>
      <c r="BK91" s="189"/>
      <c r="BL91" s="189"/>
      <c r="BM91" s="190"/>
      <c r="BN91" s="190"/>
      <c r="BO91" s="190"/>
      <c r="BP91" s="190"/>
      <c r="BQ91" s="191"/>
      <c r="BR91" s="191"/>
      <c r="BS91" s="192"/>
      <c r="BT91" s="192"/>
      <c r="BU91" s="192"/>
      <c r="BV91" s="193"/>
      <c r="BW91" s="193"/>
      <c r="BX91" s="116">
        <f t="shared" si="34"/>
        <v>0</v>
      </c>
      <c r="BY91" s="116"/>
      <c r="BZ91" s="116"/>
      <c r="CA91" s="116"/>
      <c r="CB91" s="116">
        <v>10000000</v>
      </c>
      <c r="CC91" s="116"/>
      <c r="CD91" s="116">
        <v>0</v>
      </c>
      <c r="CE91" s="116"/>
      <c r="CF91" s="116"/>
      <c r="CG91" s="116"/>
      <c r="CH91" s="116"/>
      <c r="CI91" s="116"/>
      <c r="CJ91" s="116"/>
      <c r="CK91" s="116">
        <v>0</v>
      </c>
      <c r="CL91" s="194">
        <v>10000000</v>
      </c>
      <c r="CM91" s="217" t="s">
        <v>135</v>
      </c>
      <c r="CN91" s="201" t="s">
        <v>106</v>
      </c>
    </row>
    <row r="92" spans="1:92" s="120" customFormat="1" ht="38.25" x14ac:dyDescent="0.2">
      <c r="A92" s="120">
        <f>A90+1</f>
        <v>45</v>
      </c>
      <c r="B92" s="99">
        <f t="shared" si="36"/>
        <v>84</v>
      </c>
      <c r="C92" s="122" t="s">
        <v>233</v>
      </c>
      <c r="D92" s="123" t="s">
        <v>234</v>
      </c>
      <c r="E92" s="122" t="s">
        <v>161</v>
      </c>
      <c r="F92" s="100" t="s">
        <v>134</v>
      </c>
      <c r="G92" s="124">
        <v>43525</v>
      </c>
      <c r="H92" s="124">
        <v>43525</v>
      </c>
      <c r="I92" s="125">
        <v>25000000</v>
      </c>
      <c r="J92" s="126">
        <v>7.7499999999999999E-2</v>
      </c>
      <c r="K92" s="105">
        <v>7.4999999999999997E-2</v>
      </c>
      <c r="L92" s="127">
        <v>0.9</v>
      </c>
      <c r="M92" s="128">
        <v>9</v>
      </c>
      <c r="N92" s="128"/>
      <c r="O92" s="127">
        <v>12</v>
      </c>
      <c r="P92" s="128">
        <f>I92*J92*L92*M92/O92</f>
        <v>1307812.5</v>
      </c>
      <c r="Q92" s="128">
        <f t="shared" si="46"/>
        <v>15166401.647457974</v>
      </c>
      <c r="R92" s="128">
        <f t="shared" si="47"/>
        <v>793392.38618264522</v>
      </c>
      <c r="S92" s="128">
        <f t="shared" si="48"/>
        <v>514420.11381735478</v>
      </c>
      <c r="T92" s="129">
        <v>0.606656065898319</v>
      </c>
      <c r="U92" s="128"/>
      <c r="V92" s="127"/>
      <c r="W92" s="128">
        <f t="shared" si="42"/>
        <v>15166401.647457974</v>
      </c>
      <c r="X92" s="128">
        <f t="shared" si="42"/>
        <v>793392.38618264522</v>
      </c>
      <c r="Y92" s="130">
        <f t="shared" si="43"/>
        <v>15166401.647457974</v>
      </c>
      <c r="Z92" s="130">
        <f t="shared" si="43"/>
        <v>793392.38618264522</v>
      </c>
      <c r="AA92" s="130">
        <f>1378724.99-AA93-AA94</f>
        <v>793377.71</v>
      </c>
      <c r="AB92" s="130"/>
      <c r="AC92" s="130">
        <f t="shared" si="49"/>
        <v>14.676182645256631</v>
      </c>
      <c r="AD92" s="131">
        <v>252.17662427574396</v>
      </c>
      <c r="AE92" s="131">
        <f t="shared" si="27"/>
        <v>280.54829429403355</v>
      </c>
      <c r="AF92" s="131"/>
      <c r="AG92" s="132"/>
      <c r="AH92" s="132"/>
      <c r="AI92" s="132"/>
      <c r="AJ92" s="132"/>
      <c r="AK92" s="132"/>
      <c r="AL92" s="111">
        <f t="shared" si="44"/>
        <v>14.676182645256631</v>
      </c>
      <c r="AM92" s="111"/>
      <c r="AN92" s="111"/>
      <c r="AO92" s="111"/>
      <c r="AP92" s="111">
        <f t="shared" si="39"/>
        <v>14.676182645256631</v>
      </c>
      <c r="AQ92" s="111"/>
      <c r="AR92" s="111">
        <f t="shared" si="32"/>
        <v>14.676182645256631</v>
      </c>
      <c r="AS92" s="111"/>
      <c r="AT92" s="111">
        <v>0</v>
      </c>
      <c r="AU92" s="111">
        <f t="shared" si="38"/>
        <v>14.676182645256631</v>
      </c>
      <c r="AV92" s="111"/>
      <c r="AW92" s="111"/>
      <c r="AX92" s="111"/>
      <c r="AY92" s="111"/>
      <c r="AZ92" s="111"/>
      <c r="BA92" s="111">
        <f t="shared" si="33"/>
        <v>0</v>
      </c>
      <c r="BB92" s="111"/>
      <c r="BC92" s="111"/>
      <c r="BD92" s="111"/>
      <c r="BE92" s="111"/>
      <c r="BF92" s="111"/>
      <c r="BG92" s="111"/>
      <c r="BH92" s="111">
        <f t="shared" si="35"/>
        <v>0</v>
      </c>
      <c r="BI92" s="111"/>
      <c r="BJ92" s="112">
        <f t="shared" si="30"/>
        <v>315.61683108078773</v>
      </c>
      <c r="BK92" s="134"/>
      <c r="BL92" s="134"/>
      <c r="BM92" s="135"/>
      <c r="BN92" s="135"/>
      <c r="BO92" s="135"/>
      <c r="BP92" s="135"/>
      <c r="BQ92" s="114">
        <f t="shared" si="45"/>
        <v>315.61683108078773</v>
      </c>
      <c r="BR92" s="114">
        <f t="shared" si="40"/>
        <v>360.70494980661454</v>
      </c>
      <c r="BS92" s="136"/>
      <c r="BT92" s="136"/>
      <c r="BU92" s="136"/>
      <c r="BV92" s="115">
        <f t="shared" si="41"/>
        <v>420.82244144105033</v>
      </c>
      <c r="BW92" s="115"/>
      <c r="BX92" s="116">
        <f t="shared" si="34"/>
        <v>652.274784233628</v>
      </c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>
        <v>0</v>
      </c>
      <c r="CL92" s="116"/>
      <c r="CM92" s="119"/>
    </row>
    <row r="93" spans="1:92" s="120" customFormat="1" ht="38.25" x14ac:dyDescent="0.2">
      <c r="B93" s="99">
        <f t="shared" si="36"/>
        <v>85</v>
      </c>
      <c r="C93" s="122" t="s">
        <v>233</v>
      </c>
      <c r="D93" s="123" t="s">
        <v>235</v>
      </c>
      <c r="E93" s="122" t="s">
        <v>161</v>
      </c>
      <c r="F93" s="100" t="s">
        <v>134</v>
      </c>
      <c r="G93" s="124">
        <v>43617</v>
      </c>
      <c r="H93" s="124" t="s">
        <v>196</v>
      </c>
      <c r="I93" s="125">
        <v>20000000</v>
      </c>
      <c r="J93" s="126">
        <v>7.7499999999999999E-2</v>
      </c>
      <c r="K93" s="105">
        <v>7.4999999999999997E-2</v>
      </c>
      <c r="L93" s="127">
        <v>0.9</v>
      </c>
      <c r="M93" s="128">
        <v>6</v>
      </c>
      <c r="N93" s="128"/>
      <c r="O93" s="127">
        <v>12</v>
      </c>
      <c r="P93" s="128">
        <f>I93*J93*L93*M93/O93</f>
        <v>697500</v>
      </c>
      <c r="Q93" s="128">
        <f t="shared" si="46"/>
        <v>12133121.317966379</v>
      </c>
      <c r="R93" s="128">
        <f t="shared" si="47"/>
        <v>423142.60596407746</v>
      </c>
      <c r="S93" s="128">
        <f t="shared" si="48"/>
        <v>274357.39403592254</v>
      </c>
      <c r="T93" s="129">
        <v>0.606656065898319</v>
      </c>
      <c r="U93" s="128"/>
      <c r="V93" s="127"/>
      <c r="W93" s="128">
        <f t="shared" si="42"/>
        <v>12133121.317966379</v>
      </c>
      <c r="X93" s="128">
        <f t="shared" si="42"/>
        <v>423142.60596407746</v>
      </c>
      <c r="Y93" s="130">
        <f t="shared" si="43"/>
        <v>12133121.317966379</v>
      </c>
      <c r="Z93" s="130">
        <f t="shared" si="43"/>
        <v>423142.60596407746</v>
      </c>
      <c r="AA93" s="138">
        <v>423142.61</v>
      </c>
      <c r="AB93" s="138"/>
      <c r="AC93" s="130">
        <f t="shared" si="49"/>
        <v>-4.0359225240536034E-3</v>
      </c>
      <c r="AD93" s="131">
        <v>0</v>
      </c>
      <c r="AE93" s="131">
        <f t="shared" si="27"/>
        <v>-7.7150251355863383E-2</v>
      </c>
      <c r="AF93" s="131"/>
      <c r="AG93" s="132"/>
      <c r="AH93" s="132"/>
      <c r="AI93" s="132"/>
      <c r="AJ93" s="132"/>
      <c r="AK93" s="132"/>
      <c r="AL93" s="111">
        <f t="shared" si="44"/>
        <v>-4.0359225240536034E-3</v>
      </c>
      <c r="AM93" s="111"/>
      <c r="AN93" s="111"/>
      <c r="AO93" s="111"/>
      <c r="AP93" s="111">
        <f t="shared" si="39"/>
        <v>-4.0359225240536034E-3</v>
      </c>
      <c r="AQ93" s="111"/>
      <c r="AR93" s="111">
        <f t="shared" si="32"/>
        <v>-4.0359225240536034E-3</v>
      </c>
      <c r="AS93" s="111"/>
      <c r="AT93" s="111">
        <v>0</v>
      </c>
      <c r="AU93" s="111">
        <f t="shared" si="38"/>
        <v>-4.0359225240536034E-3</v>
      </c>
      <c r="AV93" s="111"/>
      <c r="AW93" s="111"/>
      <c r="AX93" s="111"/>
      <c r="AY93" s="111">
        <v>900000</v>
      </c>
      <c r="AZ93" s="111">
        <v>435000</v>
      </c>
      <c r="BA93" s="111">
        <f t="shared" si="33"/>
        <v>465000</v>
      </c>
      <c r="BB93" s="111"/>
      <c r="BC93" s="111"/>
      <c r="BD93" s="111"/>
      <c r="BE93" s="111"/>
      <c r="BF93" s="111"/>
      <c r="BG93" s="111"/>
      <c r="BH93" s="111">
        <f t="shared" si="35"/>
        <v>465000</v>
      </c>
      <c r="BI93" s="111"/>
      <c r="BJ93" s="133">
        <f t="shared" si="30"/>
        <v>-8.6794032775346308E-2</v>
      </c>
      <c r="BK93" s="134"/>
      <c r="BL93" s="134"/>
      <c r="BM93" s="135"/>
      <c r="BN93" s="135"/>
      <c r="BO93" s="135"/>
      <c r="BP93" s="135"/>
      <c r="BQ93" s="114">
        <f t="shared" si="45"/>
        <v>-8.6794032775346308E-2</v>
      </c>
      <c r="BR93" s="114">
        <f t="shared" si="40"/>
        <v>-9.9193180314681481E-2</v>
      </c>
      <c r="BS93" s="136"/>
      <c r="BT93" s="136"/>
      <c r="BU93" s="136"/>
      <c r="BV93" s="115">
        <f t="shared" si="41"/>
        <v>-0.11572537703379507</v>
      </c>
      <c r="BW93" s="115"/>
      <c r="BX93" s="116">
        <f t="shared" si="34"/>
        <v>-0.17937433440238237</v>
      </c>
      <c r="BY93" s="116"/>
      <c r="BZ93" s="116"/>
      <c r="CA93" s="116"/>
      <c r="CB93" s="116"/>
      <c r="CC93" s="116">
        <v>20000000</v>
      </c>
      <c r="CD93" s="116"/>
      <c r="CE93" s="116"/>
      <c r="CF93" s="116"/>
      <c r="CG93" s="116"/>
      <c r="CH93" s="116"/>
      <c r="CI93" s="116"/>
      <c r="CJ93" s="116"/>
      <c r="CK93" s="116">
        <v>0</v>
      </c>
      <c r="CL93" s="116"/>
      <c r="CM93" s="119"/>
    </row>
    <row r="94" spans="1:92" s="120" customFormat="1" ht="38.25" x14ac:dyDescent="0.2">
      <c r="B94" s="99">
        <f t="shared" si="36"/>
        <v>86</v>
      </c>
      <c r="C94" s="122" t="s">
        <v>233</v>
      </c>
      <c r="D94" s="123" t="s">
        <v>236</v>
      </c>
      <c r="E94" s="122" t="s">
        <v>161</v>
      </c>
      <c r="F94" s="100" t="s">
        <v>134</v>
      </c>
      <c r="G94" s="124">
        <v>43739</v>
      </c>
      <c r="H94" s="124">
        <v>43739</v>
      </c>
      <c r="I94" s="125">
        <v>23000000</v>
      </c>
      <c r="J94" s="126">
        <v>7.7499999999999999E-2</v>
      </c>
      <c r="K94" s="105">
        <v>7.4999999999999997E-2</v>
      </c>
      <c r="L94" s="127">
        <v>0.9</v>
      </c>
      <c r="M94" s="128">
        <v>2</v>
      </c>
      <c r="N94" s="128"/>
      <c r="O94" s="127">
        <v>12</v>
      </c>
      <c r="P94" s="128">
        <f>I94*J94*L94*M94/O94</f>
        <v>267375</v>
      </c>
      <c r="Q94" s="128">
        <f t="shared" si="46"/>
        <v>13953089.515661336</v>
      </c>
      <c r="R94" s="128">
        <f t="shared" si="47"/>
        <v>162204.66561956305</v>
      </c>
      <c r="S94" s="128">
        <f t="shared" si="48"/>
        <v>105170.33438043695</v>
      </c>
      <c r="T94" s="129">
        <v>0.606656065898319</v>
      </c>
      <c r="U94" s="128"/>
      <c r="V94" s="127"/>
      <c r="W94" s="128">
        <f t="shared" si="42"/>
        <v>13953089.515661336</v>
      </c>
      <c r="X94" s="128">
        <f t="shared" si="42"/>
        <v>162204.66561956305</v>
      </c>
      <c r="Y94" s="130">
        <f t="shared" si="43"/>
        <v>13953089.515661336</v>
      </c>
      <c r="Z94" s="130">
        <f t="shared" si="43"/>
        <v>162204.66561956305</v>
      </c>
      <c r="AA94" s="138">
        <v>162204.67000000001</v>
      </c>
      <c r="AB94" s="138"/>
      <c r="AC94" s="130">
        <f t="shared" si="49"/>
        <v>-4.3804369634017348E-3</v>
      </c>
      <c r="AD94" s="131">
        <v>0</v>
      </c>
      <c r="AE94" s="131">
        <f t="shared" si="27"/>
        <v>-8.3735951510666373E-2</v>
      </c>
      <c r="AF94" s="131"/>
      <c r="AG94" s="132"/>
      <c r="AH94" s="132"/>
      <c r="AI94" s="132"/>
      <c r="AJ94" s="132"/>
      <c r="AK94" s="132"/>
      <c r="AL94" s="111">
        <f t="shared" si="44"/>
        <v>-4.3804369634017348E-3</v>
      </c>
      <c r="AM94" s="111"/>
      <c r="AN94" s="111"/>
      <c r="AO94" s="111"/>
      <c r="AP94" s="111">
        <f t="shared" si="39"/>
        <v>-4.3804369634017348E-3</v>
      </c>
      <c r="AQ94" s="111"/>
      <c r="AR94" s="111">
        <f t="shared" si="32"/>
        <v>-4.3804369634017348E-3</v>
      </c>
      <c r="AS94" s="111"/>
      <c r="AT94" s="111">
        <v>0</v>
      </c>
      <c r="AU94" s="111">
        <f t="shared" si="38"/>
        <v>-4.3804369634017348E-3</v>
      </c>
      <c r="AV94" s="111"/>
      <c r="AW94" s="111"/>
      <c r="AX94" s="111"/>
      <c r="AY94" s="111"/>
      <c r="AZ94" s="111">
        <v>407812.5</v>
      </c>
      <c r="BA94" s="111">
        <f t="shared" si="33"/>
        <v>-407812.5</v>
      </c>
      <c r="BB94" s="111"/>
      <c r="BC94" s="111"/>
      <c r="BD94" s="111"/>
      <c r="BE94" s="111"/>
      <c r="BF94" s="111"/>
      <c r="BG94" s="111"/>
      <c r="BH94" s="83">
        <f t="shared" si="35"/>
        <v>-407812.5</v>
      </c>
      <c r="BI94" s="111"/>
      <c r="BJ94" s="133">
        <f t="shared" si="30"/>
        <v>-9.420294544949967E-2</v>
      </c>
      <c r="BK94" s="134"/>
      <c r="BL94" s="134"/>
      <c r="BM94" s="135"/>
      <c r="BN94" s="135"/>
      <c r="BO94" s="135"/>
      <c r="BP94" s="135"/>
      <c r="BQ94" s="114">
        <f t="shared" si="45"/>
        <v>-9.420294544949967E-2</v>
      </c>
      <c r="BR94" s="114">
        <f t="shared" si="40"/>
        <v>-0.10766050908514246</v>
      </c>
      <c r="BS94" s="136"/>
      <c r="BT94" s="136"/>
      <c r="BU94" s="136"/>
      <c r="BV94" s="115">
        <f t="shared" si="41"/>
        <v>-0.12560392726599956</v>
      </c>
      <c r="BW94" s="115"/>
      <c r="BX94" s="116">
        <f t="shared" si="34"/>
        <v>-0.19468608726229936</v>
      </c>
      <c r="BY94" s="116"/>
      <c r="BZ94" s="116"/>
      <c r="CA94" s="116"/>
      <c r="CB94" s="116"/>
      <c r="CC94" s="116">
        <v>25000000</v>
      </c>
      <c r="CD94" s="116"/>
      <c r="CE94" s="116"/>
      <c r="CF94" s="116"/>
      <c r="CG94" s="116"/>
      <c r="CH94" s="116"/>
      <c r="CI94" s="116"/>
      <c r="CJ94" s="116"/>
      <c r="CK94" s="116">
        <v>0</v>
      </c>
      <c r="CL94" s="116">
        <v>65000000</v>
      </c>
      <c r="CM94" s="217" t="s">
        <v>135</v>
      </c>
      <c r="CN94" s="201" t="s">
        <v>109</v>
      </c>
    </row>
    <row r="95" spans="1:92" s="118" customFormat="1" ht="25.5" x14ac:dyDescent="0.2">
      <c r="A95" s="118">
        <f>A92+1</f>
        <v>46</v>
      </c>
      <c r="B95" s="99">
        <f t="shared" si="36"/>
        <v>87</v>
      </c>
      <c r="C95" s="100" t="s">
        <v>237</v>
      </c>
      <c r="D95" s="101" t="s">
        <v>238</v>
      </c>
      <c r="E95" s="100" t="s">
        <v>95</v>
      </c>
      <c r="F95" s="100" t="s">
        <v>96</v>
      </c>
      <c r="G95" s="103">
        <v>43497</v>
      </c>
      <c r="H95" s="103">
        <v>43497</v>
      </c>
      <c r="I95" s="104">
        <v>15000000</v>
      </c>
      <c r="J95" s="105">
        <v>7.7499999999999999E-2</v>
      </c>
      <c r="K95" s="76">
        <v>7.4999999999999997E-2</v>
      </c>
      <c r="L95" s="106">
        <v>0.9</v>
      </c>
      <c r="M95" s="107">
        <v>10</v>
      </c>
      <c r="N95" s="107"/>
      <c r="O95" s="106">
        <v>12</v>
      </c>
      <c r="P95" s="107">
        <f>I95*J95*L95*M95/O95</f>
        <v>871875</v>
      </c>
      <c r="Q95" s="107">
        <f t="shared" si="46"/>
        <v>9099840.9884747844</v>
      </c>
      <c r="R95" s="107">
        <f t="shared" si="47"/>
        <v>528928.25745509693</v>
      </c>
      <c r="S95" s="107">
        <f t="shared" si="48"/>
        <v>342946.74254490307</v>
      </c>
      <c r="T95" s="108">
        <v>0.606656065898319</v>
      </c>
      <c r="U95" s="107"/>
      <c r="V95" s="106"/>
      <c r="W95" s="107">
        <f t="shared" si="42"/>
        <v>9099840.9884747844</v>
      </c>
      <c r="X95" s="107">
        <f t="shared" si="42"/>
        <v>528928.25745509693</v>
      </c>
      <c r="Y95" s="109">
        <f t="shared" si="43"/>
        <v>9099840.9884747844</v>
      </c>
      <c r="Z95" s="109">
        <f t="shared" si="43"/>
        <v>528928.25745509693</v>
      </c>
      <c r="AA95" s="109">
        <v>528879.38</v>
      </c>
      <c r="AB95" s="109"/>
      <c r="AC95" s="109">
        <f t="shared" si="49"/>
        <v>48.877455096924677</v>
      </c>
      <c r="AD95" s="110">
        <v>840.98847478628159</v>
      </c>
      <c r="AE95" s="110">
        <f t="shared" si="27"/>
        <v>934.33605920047171</v>
      </c>
      <c r="AF95" s="110"/>
      <c r="AG95" s="83"/>
      <c r="AH95" s="111"/>
      <c r="AI95" s="111"/>
      <c r="AJ95" s="111"/>
      <c r="AK95" s="111"/>
      <c r="AL95" s="111">
        <f t="shared" si="44"/>
        <v>48.877455096924677</v>
      </c>
      <c r="AM95" s="111"/>
      <c r="AN95" s="111"/>
      <c r="AO95" s="111"/>
      <c r="AP95" s="111">
        <f t="shared" si="39"/>
        <v>48.877455096924677</v>
      </c>
      <c r="AQ95" s="111"/>
      <c r="AR95" s="82">
        <f t="shared" si="32"/>
        <v>48.877455096924677</v>
      </c>
      <c r="AS95" s="82"/>
      <c r="AT95" s="82">
        <v>0</v>
      </c>
      <c r="AU95" s="85">
        <f t="shared" si="38"/>
        <v>48.877455096924677</v>
      </c>
      <c r="AV95" s="85"/>
      <c r="AW95" s="86"/>
      <c r="AX95" s="86"/>
      <c r="AY95" s="85"/>
      <c r="AZ95" s="85"/>
      <c r="BA95" s="85">
        <f t="shared" si="33"/>
        <v>0</v>
      </c>
      <c r="BB95" s="85"/>
      <c r="BC95" s="85"/>
      <c r="BD95" s="85"/>
      <c r="BE95" s="85"/>
      <c r="BF95" s="85"/>
      <c r="BG95" s="85"/>
      <c r="BH95" s="111">
        <f t="shared" si="35"/>
        <v>0</v>
      </c>
      <c r="BI95" s="111"/>
      <c r="BJ95" s="112">
        <f t="shared" si="30"/>
        <v>1051.1280666005305</v>
      </c>
      <c r="BK95" s="112"/>
      <c r="BL95" s="112"/>
      <c r="BM95" s="113"/>
      <c r="BN95" s="113"/>
      <c r="BO95" s="113"/>
      <c r="BP95" s="113"/>
      <c r="BQ95" s="114">
        <f t="shared" si="45"/>
        <v>1051.1280666005305</v>
      </c>
      <c r="BR95" s="114">
        <f t="shared" si="40"/>
        <v>1201.2892189720351</v>
      </c>
      <c r="BS95" s="98"/>
      <c r="BT95" s="98"/>
      <c r="BU95" s="98"/>
      <c r="BV95" s="115">
        <f t="shared" si="41"/>
        <v>1401.5040888007074</v>
      </c>
      <c r="BW95" s="115"/>
      <c r="BX95" s="116">
        <f t="shared" si="34"/>
        <v>2172.331337641097</v>
      </c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>
        <v>0</v>
      </c>
      <c r="CL95" s="116"/>
      <c r="CM95" s="117"/>
    </row>
    <row r="96" spans="1:92" s="118" customFormat="1" ht="25.5" x14ac:dyDescent="0.2">
      <c r="B96" s="99">
        <f t="shared" si="36"/>
        <v>88</v>
      </c>
      <c r="C96" s="100" t="s">
        <v>237</v>
      </c>
      <c r="D96" s="101" t="s">
        <v>238</v>
      </c>
      <c r="E96" s="100" t="s">
        <v>95</v>
      </c>
      <c r="F96" s="100" t="s">
        <v>96</v>
      </c>
      <c r="G96" s="103"/>
      <c r="H96" s="103" t="s">
        <v>97</v>
      </c>
      <c r="I96" s="104"/>
      <c r="J96" s="105"/>
      <c r="K96" s="105">
        <v>7.4999999999999997E-2</v>
      </c>
      <c r="L96" s="106">
        <v>0.9</v>
      </c>
      <c r="M96" s="107"/>
      <c r="N96" s="107">
        <v>3</v>
      </c>
      <c r="O96" s="106">
        <v>12</v>
      </c>
      <c r="P96" s="107"/>
      <c r="Q96" s="107">
        <f t="shared" si="46"/>
        <v>0</v>
      </c>
      <c r="R96" s="107"/>
      <c r="S96" s="107"/>
      <c r="T96" s="108"/>
      <c r="U96" s="107"/>
      <c r="V96" s="106"/>
      <c r="W96" s="107">
        <f t="shared" si="42"/>
        <v>0</v>
      </c>
      <c r="X96" s="107"/>
      <c r="Y96" s="109">
        <f t="shared" si="43"/>
        <v>0</v>
      </c>
      <c r="Z96" s="109"/>
      <c r="AA96" s="109"/>
      <c r="AB96" s="109"/>
      <c r="AC96" s="109"/>
      <c r="AD96" s="110"/>
      <c r="AE96" s="110"/>
      <c r="AF96" s="110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>
        <v>48.88</v>
      </c>
      <c r="AQ96" s="111"/>
      <c r="AR96" s="111">
        <f t="shared" si="32"/>
        <v>48.88</v>
      </c>
      <c r="AS96" s="111"/>
      <c r="AT96" s="111">
        <v>0</v>
      </c>
      <c r="AU96" s="111">
        <f t="shared" si="38"/>
        <v>48.88</v>
      </c>
      <c r="AV96" s="111"/>
      <c r="AW96" s="111">
        <v>90000</v>
      </c>
      <c r="AX96" s="111"/>
      <c r="AY96" s="111">
        <v>0</v>
      </c>
      <c r="AZ96" s="111"/>
      <c r="BA96" s="85">
        <f t="shared" si="33"/>
        <v>0</v>
      </c>
      <c r="BB96" s="85"/>
      <c r="BC96" s="85"/>
      <c r="BD96" s="85"/>
      <c r="BE96" s="85"/>
      <c r="BF96" s="85"/>
      <c r="BG96" s="85"/>
      <c r="BH96" s="111">
        <f t="shared" si="35"/>
        <v>0</v>
      </c>
      <c r="BI96" s="111"/>
      <c r="BJ96" s="112"/>
      <c r="BK96" s="112"/>
      <c r="BL96" s="112"/>
      <c r="BM96" s="113"/>
      <c r="BN96" s="113"/>
      <c r="BO96" s="113"/>
      <c r="BP96" s="113"/>
      <c r="BQ96" s="114"/>
      <c r="BR96" s="114"/>
      <c r="BS96" s="98"/>
      <c r="BT96" s="98"/>
      <c r="BU96" s="98"/>
      <c r="BV96" s="115"/>
      <c r="BW96" s="115"/>
      <c r="BX96" s="116">
        <f t="shared" si="34"/>
        <v>2172.4444444444443</v>
      </c>
      <c r="BY96" s="116"/>
      <c r="BZ96" s="116"/>
      <c r="CA96" s="116">
        <v>4000000</v>
      </c>
      <c r="CB96" s="116"/>
      <c r="CC96" s="116"/>
      <c r="CD96" s="116">
        <v>0</v>
      </c>
      <c r="CE96" s="116"/>
      <c r="CF96" s="116"/>
      <c r="CG96" s="116"/>
      <c r="CH96" s="116"/>
      <c r="CI96" s="116"/>
      <c r="CJ96" s="116"/>
      <c r="CK96" s="116">
        <v>0</v>
      </c>
      <c r="CL96" s="116">
        <v>5000000</v>
      </c>
      <c r="CM96" s="117"/>
    </row>
    <row r="97" spans="1:93" s="118" customFormat="1" ht="38.25" x14ac:dyDescent="0.2">
      <c r="A97" s="118">
        <f>A95+1</f>
        <v>47</v>
      </c>
      <c r="B97" s="99">
        <f t="shared" si="36"/>
        <v>89</v>
      </c>
      <c r="C97" s="100" t="s">
        <v>239</v>
      </c>
      <c r="D97" s="101" t="s">
        <v>240</v>
      </c>
      <c r="E97" s="100" t="s">
        <v>95</v>
      </c>
      <c r="F97" s="100" t="s">
        <v>134</v>
      </c>
      <c r="G97" s="103">
        <v>43497</v>
      </c>
      <c r="H97" s="103" t="s">
        <v>158</v>
      </c>
      <c r="I97" s="104">
        <f>35000000-9000000</f>
        <v>26000000</v>
      </c>
      <c r="J97" s="105">
        <v>7.7499999999999999E-2</v>
      </c>
      <c r="K97" s="105">
        <v>7.4999999999999997E-2</v>
      </c>
      <c r="L97" s="106">
        <v>0.9</v>
      </c>
      <c r="M97" s="107">
        <v>10</v>
      </c>
      <c r="N97" s="107">
        <v>3</v>
      </c>
      <c r="O97" s="106">
        <v>12</v>
      </c>
      <c r="P97" s="107">
        <f>I97*J97*L97*M97/O97</f>
        <v>1511250</v>
      </c>
      <c r="Q97" s="107">
        <f t="shared" si="46"/>
        <v>15773057.713356294</v>
      </c>
      <c r="R97" s="107">
        <f t="shared" si="47"/>
        <v>916808.97958883457</v>
      </c>
      <c r="S97" s="107">
        <f t="shared" si="48"/>
        <v>594441.02041116543</v>
      </c>
      <c r="T97" s="108">
        <v>0.606656065898319</v>
      </c>
      <c r="U97" s="107"/>
      <c r="V97" s="106"/>
      <c r="W97" s="107">
        <f t="shared" si="42"/>
        <v>15773057.713356294</v>
      </c>
      <c r="X97" s="107">
        <f t="shared" si="42"/>
        <v>916808.97958883457</v>
      </c>
      <c r="Y97" s="109">
        <f>SUM(W97)</f>
        <v>15773057.713356294</v>
      </c>
      <c r="Z97" s="109">
        <f t="shared" si="43"/>
        <v>916808.97958883457</v>
      </c>
      <c r="AA97" s="109"/>
      <c r="AB97" s="109"/>
      <c r="AC97" s="109">
        <f t="shared" si="49"/>
        <v>916808.97958883457</v>
      </c>
      <c r="AD97" s="110">
        <v>21232962.306441166</v>
      </c>
      <c r="AE97" s="110">
        <f t="shared" si="27"/>
        <v>17525619.681506991</v>
      </c>
      <c r="AF97" s="110"/>
      <c r="AG97" s="111"/>
      <c r="AH97" s="111">
        <v>878850</v>
      </c>
      <c r="AI97" s="111"/>
      <c r="AJ97" s="111"/>
      <c r="AK97" s="111"/>
      <c r="AL97" s="111">
        <f t="shared" si="44"/>
        <v>37958.979588834569</v>
      </c>
      <c r="AM97" s="111"/>
      <c r="AN97" s="111"/>
      <c r="AO97" s="111"/>
      <c r="AP97" s="111">
        <f t="shared" si="39"/>
        <v>37958.979588834569</v>
      </c>
      <c r="AQ97" s="111"/>
      <c r="AR97" s="111">
        <f t="shared" si="32"/>
        <v>37958.979588834569</v>
      </c>
      <c r="AS97" s="111"/>
      <c r="AT97" s="111">
        <f>CL97*K97*L97*N97/O97</f>
        <v>253125</v>
      </c>
      <c r="AU97" s="111">
        <f t="shared" si="38"/>
        <v>-215166.02041116543</v>
      </c>
      <c r="AV97" s="111"/>
      <c r="AW97" s="111"/>
      <c r="AX97" s="111"/>
      <c r="AY97" s="111">
        <v>253125</v>
      </c>
      <c r="AZ97" s="111"/>
      <c r="BA97" s="111">
        <f t="shared" si="33"/>
        <v>253125</v>
      </c>
      <c r="BB97" s="111"/>
      <c r="BC97" s="111"/>
      <c r="BD97" s="111"/>
      <c r="BE97" s="111"/>
      <c r="BF97" s="111"/>
      <c r="BG97" s="111"/>
      <c r="BH97" s="111">
        <f t="shared" si="35"/>
        <v>253125</v>
      </c>
      <c r="BI97" s="111"/>
      <c r="BJ97" s="112">
        <f t="shared" si="30"/>
        <v>19716322.141695365</v>
      </c>
      <c r="BK97" s="112"/>
      <c r="BL97" s="112"/>
      <c r="BM97" s="273">
        <v>21000000</v>
      </c>
      <c r="BN97" s="113"/>
      <c r="BO97" s="113"/>
      <c r="BP97" s="113"/>
      <c r="BQ97" s="114">
        <f t="shared" si="45"/>
        <v>-1283677.8583046347</v>
      </c>
      <c r="BR97" s="114">
        <f t="shared" si="40"/>
        <v>932939.59050899092</v>
      </c>
      <c r="BS97" s="98"/>
      <c r="BT97" s="98"/>
      <c r="BU97" s="98"/>
      <c r="BV97" s="115">
        <f t="shared" si="41"/>
        <v>1088429.5222604894</v>
      </c>
      <c r="BW97" s="115"/>
      <c r="BX97" s="116">
        <f t="shared" si="34"/>
        <v>1687065.7595037587</v>
      </c>
      <c r="BY97" s="116">
        <v>15000000</v>
      </c>
      <c r="BZ97" s="116"/>
      <c r="CA97" s="116"/>
      <c r="CB97" s="116"/>
      <c r="CC97" s="116"/>
      <c r="CD97" s="116">
        <v>15000000</v>
      </c>
      <c r="CE97" s="116"/>
      <c r="CF97" s="116"/>
      <c r="CG97" s="116"/>
      <c r="CH97" s="116"/>
      <c r="CI97" s="116"/>
      <c r="CJ97" s="116"/>
      <c r="CK97" s="116">
        <v>0</v>
      </c>
      <c r="CL97" s="116">
        <v>15000000</v>
      </c>
      <c r="CM97" s="217" t="s">
        <v>241</v>
      </c>
      <c r="CN97" s="118" t="s">
        <v>242</v>
      </c>
      <c r="CO97" s="118">
        <v>101527.4</v>
      </c>
    </row>
    <row r="98" spans="1:93" s="118" customFormat="1" ht="25.5" x14ac:dyDescent="0.2">
      <c r="B98" s="99">
        <f t="shared" si="36"/>
        <v>90</v>
      </c>
      <c r="C98" s="100" t="s">
        <v>239</v>
      </c>
      <c r="D98" s="101" t="s">
        <v>240</v>
      </c>
      <c r="E98" s="100" t="s">
        <v>95</v>
      </c>
      <c r="F98" s="100" t="s">
        <v>134</v>
      </c>
      <c r="G98" s="103"/>
      <c r="H98" s="103" t="s">
        <v>130</v>
      </c>
      <c r="I98" s="104"/>
      <c r="J98" s="105"/>
      <c r="K98" s="105">
        <v>7.4999999999999997E-2</v>
      </c>
      <c r="L98" s="106">
        <v>0.9</v>
      </c>
      <c r="M98" s="107"/>
      <c r="N98" s="107">
        <v>2</v>
      </c>
      <c r="O98" s="106">
        <v>12</v>
      </c>
      <c r="P98" s="107"/>
      <c r="Q98" s="107">
        <f t="shared" si="46"/>
        <v>0</v>
      </c>
      <c r="R98" s="107"/>
      <c r="S98" s="107"/>
      <c r="T98" s="108"/>
      <c r="U98" s="107"/>
      <c r="V98" s="106"/>
      <c r="W98" s="107">
        <f t="shared" si="42"/>
        <v>0</v>
      </c>
      <c r="X98" s="107"/>
      <c r="Y98" s="109">
        <f t="shared" si="43"/>
        <v>0</v>
      </c>
      <c r="Z98" s="109"/>
      <c r="AA98" s="109"/>
      <c r="AB98" s="109"/>
      <c r="AC98" s="109"/>
      <c r="AD98" s="110"/>
      <c r="AE98" s="110"/>
      <c r="AF98" s="110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>
        <f t="shared" si="32"/>
        <v>0</v>
      </c>
      <c r="AS98" s="111"/>
      <c r="AT98" s="111">
        <f>CL98*K98*L98*N98/O98</f>
        <v>67500</v>
      </c>
      <c r="AU98" s="111">
        <f t="shared" si="38"/>
        <v>-67500</v>
      </c>
      <c r="AV98" s="111"/>
      <c r="AW98" s="111"/>
      <c r="AX98" s="111"/>
      <c r="AY98" s="111">
        <v>67500</v>
      </c>
      <c r="AZ98" s="111"/>
      <c r="BA98" s="111">
        <f t="shared" si="33"/>
        <v>67500</v>
      </c>
      <c r="BB98" s="111"/>
      <c r="BC98" s="111"/>
      <c r="BD98" s="111"/>
      <c r="BE98" s="111"/>
      <c r="BF98" s="111"/>
      <c r="BG98" s="111"/>
      <c r="BH98" s="111">
        <f t="shared" si="35"/>
        <v>67500</v>
      </c>
      <c r="BI98" s="111"/>
      <c r="BJ98" s="112"/>
      <c r="BK98" s="112"/>
      <c r="BL98" s="112"/>
      <c r="BM98" s="273"/>
      <c r="BN98" s="113"/>
      <c r="BO98" s="113"/>
      <c r="BP98" s="113"/>
      <c r="BQ98" s="114"/>
      <c r="BR98" s="114"/>
      <c r="BS98" s="98"/>
      <c r="BT98" s="98"/>
      <c r="BU98" s="98"/>
      <c r="BV98" s="115"/>
      <c r="BW98" s="115"/>
      <c r="BX98" s="116">
        <f t="shared" si="34"/>
        <v>0</v>
      </c>
      <c r="BY98" s="116">
        <v>6000000</v>
      </c>
      <c r="BZ98" s="116"/>
      <c r="CA98" s="116"/>
      <c r="CB98" s="116"/>
      <c r="CC98" s="116"/>
      <c r="CD98" s="116">
        <v>6000000</v>
      </c>
      <c r="CE98" s="116"/>
      <c r="CF98" s="116"/>
      <c r="CG98" s="116"/>
      <c r="CH98" s="116"/>
      <c r="CI98" s="116"/>
      <c r="CJ98" s="116"/>
      <c r="CK98" s="116">
        <v>0</v>
      </c>
      <c r="CL98" s="116">
        <v>6000000</v>
      </c>
      <c r="CM98" s="217" t="s">
        <v>243</v>
      </c>
      <c r="CN98" s="118" t="s">
        <v>95</v>
      </c>
    </row>
    <row r="99" spans="1:93" s="2" customFormat="1" ht="25.5" x14ac:dyDescent="0.2">
      <c r="B99" s="145">
        <f t="shared" si="36"/>
        <v>91</v>
      </c>
      <c r="C99" s="148" t="s">
        <v>239</v>
      </c>
      <c r="D99" s="164" t="s">
        <v>240</v>
      </c>
      <c r="E99" s="148" t="s">
        <v>95</v>
      </c>
      <c r="F99" s="148" t="s">
        <v>134</v>
      </c>
      <c r="G99" s="149"/>
      <c r="H99" s="149" t="s">
        <v>124</v>
      </c>
      <c r="I99" s="150">
        <v>9000000</v>
      </c>
      <c r="J99" s="151">
        <v>7.7499999999999999E-2</v>
      </c>
      <c r="K99" s="151">
        <v>7.2499999999999995E-2</v>
      </c>
      <c r="L99" s="254">
        <v>0.9</v>
      </c>
      <c r="M99" s="255">
        <v>10</v>
      </c>
      <c r="N99" s="255">
        <v>2</v>
      </c>
      <c r="O99" s="254">
        <v>12</v>
      </c>
      <c r="P99" s="153">
        <f>I99*J99*L99*M99/O99</f>
        <v>523125</v>
      </c>
      <c r="Q99" s="153">
        <f t="shared" ref="Q99" si="50">I99*0.606656065898319</f>
        <v>5459904.5930848708</v>
      </c>
      <c r="R99" s="153">
        <f t="shared" ref="R99" si="51">Q99*J99*L99*M99/O99</f>
        <v>317356.95447305805</v>
      </c>
      <c r="S99" s="153">
        <f t="shared" ref="S99" si="52">P99-R99</f>
        <v>205768.04552694195</v>
      </c>
      <c r="T99" s="154">
        <v>0.606656065898319</v>
      </c>
      <c r="U99" s="153"/>
      <c r="V99" s="152"/>
      <c r="W99" s="153">
        <f t="shared" si="42"/>
        <v>5459904.5930848708</v>
      </c>
      <c r="X99" s="153">
        <f t="shared" ref="X99" si="53">R99-V99</f>
        <v>317356.95447305805</v>
      </c>
      <c r="Y99" s="153">
        <f>W99</f>
        <v>5459904.5930848708</v>
      </c>
      <c r="Z99" s="155"/>
      <c r="AA99" s="155"/>
      <c r="AB99" s="155"/>
      <c r="AC99" s="155"/>
      <c r="AD99" s="156"/>
      <c r="AE99" s="156"/>
      <c r="AF99" s="156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>
        <f t="shared" si="32"/>
        <v>0</v>
      </c>
      <c r="AS99" s="83"/>
      <c r="AT99" s="83">
        <f>CL99*K99*L99*N99/O99</f>
        <v>97875</v>
      </c>
      <c r="AU99" s="83">
        <f t="shared" si="38"/>
        <v>-97875</v>
      </c>
      <c r="AV99" s="83"/>
      <c r="AW99" s="83"/>
      <c r="AX99" s="83"/>
      <c r="AY99" s="83">
        <v>50625</v>
      </c>
      <c r="AZ99" s="83"/>
      <c r="BA99" s="83">
        <f t="shared" si="33"/>
        <v>50625</v>
      </c>
      <c r="BB99" s="83"/>
      <c r="BC99" s="83"/>
      <c r="BD99" s="83"/>
      <c r="BE99" s="83"/>
      <c r="BF99" s="83"/>
      <c r="BG99" s="83"/>
      <c r="BH99" s="83">
        <f t="shared" si="35"/>
        <v>50625</v>
      </c>
      <c r="BI99" s="83">
        <f>CK99*K99*L99*N99/O99</f>
        <v>97875</v>
      </c>
      <c r="BJ99" s="159"/>
      <c r="BK99" s="159"/>
      <c r="BL99" s="159"/>
      <c r="BM99" s="372"/>
      <c r="BN99" s="89"/>
      <c r="BO99" s="89"/>
      <c r="BP99" s="89"/>
      <c r="BQ99" s="160"/>
      <c r="BR99" s="160"/>
      <c r="BS99" s="161"/>
      <c r="BT99" s="161"/>
      <c r="BU99" s="161"/>
      <c r="BV99" s="162"/>
      <c r="BW99" s="162"/>
      <c r="BX99" s="95">
        <f t="shared" si="34"/>
        <v>0</v>
      </c>
      <c r="BY99" s="95"/>
      <c r="BZ99" s="95"/>
      <c r="CA99" s="95"/>
      <c r="CB99" s="95"/>
      <c r="CC99" s="95"/>
      <c r="CD99" s="95">
        <v>9000000</v>
      </c>
      <c r="CE99" s="95"/>
      <c r="CF99" s="95"/>
      <c r="CG99" s="95"/>
      <c r="CH99" s="95"/>
      <c r="CI99" s="95"/>
      <c r="CJ99" s="95"/>
      <c r="CK99" s="95">
        <v>9000000</v>
      </c>
      <c r="CL99" s="95">
        <v>9000000</v>
      </c>
      <c r="CM99" s="163" t="s">
        <v>244</v>
      </c>
      <c r="CN99" s="2" t="s">
        <v>95</v>
      </c>
    </row>
    <row r="100" spans="1:93" s="2" customFormat="1" ht="25.5" x14ac:dyDescent="0.2">
      <c r="A100" s="2">
        <f>A97+1</f>
        <v>48</v>
      </c>
      <c r="B100" s="145">
        <f t="shared" si="36"/>
        <v>92</v>
      </c>
      <c r="C100" s="148" t="s">
        <v>245</v>
      </c>
      <c r="D100" s="164" t="s">
        <v>246</v>
      </c>
      <c r="E100" s="148" t="s">
        <v>95</v>
      </c>
      <c r="F100" s="148" t="s">
        <v>96</v>
      </c>
      <c r="G100" s="149">
        <v>43497</v>
      </c>
      <c r="H100" s="149" t="s">
        <v>247</v>
      </c>
      <c r="I100" s="150">
        <v>20000000</v>
      </c>
      <c r="J100" s="151">
        <v>7.7499999999999999E-2</v>
      </c>
      <c r="K100" s="151">
        <v>7.2499999999999995E-2</v>
      </c>
      <c r="L100" s="152">
        <v>0.9</v>
      </c>
      <c r="M100" s="153">
        <v>10</v>
      </c>
      <c r="N100" s="153">
        <v>1.5</v>
      </c>
      <c r="O100" s="152">
        <v>12</v>
      </c>
      <c r="P100" s="153">
        <f t="shared" ref="P100:P150" si="54">I100*J100*L100*M100/O100</f>
        <v>1162500</v>
      </c>
      <c r="Q100" s="153">
        <f t="shared" si="46"/>
        <v>12133121.317966379</v>
      </c>
      <c r="R100" s="153">
        <f t="shared" si="47"/>
        <v>705237.67660679575</v>
      </c>
      <c r="S100" s="153">
        <f t="shared" si="48"/>
        <v>457262.32339320425</v>
      </c>
      <c r="T100" s="154">
        <v>0.606656065898319</v>
      </c>
      <c r="U100" s="153"/>
      <c r="V100" s="152"/>
      <c r="W100" s="153">
        <f t="shared" si="42"/>
        <v>12133121.317966379</v>
      </c>
      <c r="X100" s="153">
        <f t="shared" si="42"/>
        <v>705237.67660679575</v>
      </c>
      <c r="Y100" s="155">
        <f t="shared" si="43"/>
        <v>12133121.317966379</v>
      </c>
      <c r="Z100" s="155">
        <f t="shared" si="43"/>
        <v>705237.67660679575</v>
      </c>
      <c r="AA100" s="155"/>
      <c r="AB100" s="155"/>
      <c r="AC100" s="155">
        <f t="shared" si="49"/>
        <v>705237.67660679575</v>
      </c>
      <c r="AD100" s="156">
        <v>12133121.317966379</v>
      </c>
      <c r="AE100" s="156">
        <f t="shared" si="27"/>
        <v>13481245.90885153</v>
      </c>
      <c r="AF100" s="156"/>
      <c r="AG100" s="83"/>
      <c r="AH100" s="83"/>
      <c r="AI100" s="83"/>
      <c r="AJ100" s="83"/>
      <c r="AK100" s="83"/>
      <c r="AL100" s="83">
        <f t="shared" si="44"/>
        <v>705237.67660679575</v>
      </c>
      <c r="AM100" s="83"/>
      <c r="AN100" s="83"/>
      <c r="AO100" s="83"/>
      <c r="AP100" s="83">
        <f t="shared" si="39"/>
        <v>705237.67660679575</v>
      </c>
      <c r="AQ100" s="83"/>
      <c r="AR100" s="83">
        <f t="shared" si="32"/>
        <v>705237.67660679575</v>
      </c>
      <c r="AS100" s="83"/>
      <c r="AT100" s="83">
        <f>BY100*K100*L100*N100/O100</f>
        <v>163125</v>
      </c>
      <c r="AU100" s="83">
        <f t="shared" si="38"/>
        <v>542112.67660679575</v>
      </c>
      <c r="AV100" s="83"/>
      <c r="AW100" s="83"/>
      <c r="AX100" s="83"/>
      <c r="AY100" s="83">
        <v>225000</v>
      </c>
      <c r="AZ100" s="83"/>
      <c r="BA100" s="83">
        <f t="shared" si="33"/>
        <v>225000</v>
      </c>
      <c r="BB100" s="83"/>
      <c r="BC100" s="83"/>
      <c r="BD100" s="83"/>
      <c r="BE100" s="83"/>
      <c r="BF100" s="83"/>
      <c r="BG100" s="83"/>
      <c r="BH100" s="83">
        <f t="shared" si="35"/>
        <v>225000</v>
      </c>
      <c r="BI100" s="83">
        <f>CK100*K100*L100*N100/O100</f>
        <v>244687.5</v>
      </c>
      <c r="BJ100" s="159">
        <f t="shared" si="30"/>
        <v>15166401.647457972</v>
      </c>
      <c r="BK100" s="159"/>
      <c r="BL100" s="159"/>
      <c r="BM100" s="89"/>
      <c r="BN100" s="89"/>
      <c r="BO100" s="89"/>
      <c r="BP100" s="89"/>
      <c r="BQ100" s="160">
        <f t="shared" si="45"/>
        <v>15166401.647457972</v>
      </c>
      <c r="BR100" s="160">
        <f t="shared" si="40"/>
        <v>17333030.454237685</v>
      </c>
      <c r="BS100" s="161"/>
      <c r="BT100" s="161"/>
      <c r="BU100" s="161"/>
      <c r="BV100" s="162">
        <f t="shared" si="41"/>
        <v>20221868.863277297</v>
      </c>
      <c r="BW100" s="162"/>
      <c r="BX100" s="95">
        <f t="shared" si="34"/>
        <v>32424720.763530843</v>
      </c>
      <c r="BY100" s="95">
        <v>20000000</v>
      </c>
      <c r="BZ100" s="95"/>
      <c r="CA100" s="95"/>
      <c r="CB100" s="95"/>
      <c r="CC100" s="95"/>
      <c r="CD100" s="95">
        <v>20000000</v>
      </c>
      <c r="CE100" s="95"/>
      <c r="CF100" s="95"/>
      <c r="CG100" s="95"/>
      <c r="CH100" s="95"/>
      <c r="CI100" s="95"/>
      <c r="CJ100" s="95"/>
      <c r="CK100" s="95">
        <v>30000000</v>
      </c>
      <c r="CL100" s="95">
        <v>20000000</v>
      </c>
      <c r="CM100" s="308" t="s">
        <v>135</v>
      </c>
      <c r="CN100" s="2" t="s">
        <v>106</v>
      </c>
    </row>
    <row r="101" spans="1:93" s="118" customFormat="1" ht="25.5" x14ac:dyDescent="0.2">
      <c r="A101" s="98">
        <f>A100+1</f>
        <v>49</v>
      </c>
      <c r="B101" s="99">
        <f t="shared" si="36"/>
        <v>93</v>
      </c>
      <c r="C101" s="100" t="s">
        <v>248</v>
      </c>
      <c r="D101" s="101" t="s">
        <v>249</v>
      </c>
      <c r="E101" s="100" t="s">
        <v>95</v>
      </c>
      <c r="F101" s="100" t="s">
        <v>96</v>
      </c>
      <c r="G101" s="103">
        <v>43497</v>
      </c>
      <c r="H101" s="103" t="s">
        <v>158</v>
      </c>
      <c r="I101" s="104">
        <v>500000</v>
      </c>
      <c r="J101" s="105">
        <v>7.7499999999999999E-2</v>
      </c>
      <c r="K101" s="105">
        <v>7.4999999999999997E-2</v>
      </c>
      <c r="L101" s="106">
        <v>0.9</v>
      </c>
      <c r="M101" s="107">
        <v>10</v>
      </c>
      <c r="N101" s="107"/>
      <c r="O101" s="106">
        <v>12</v>
      </c>
      <c r="P101" s="107">
        <f t="shared" si="54"/>
        <v>29062.5</v>
      </c>
      <c r="Q101" s="107">
        <f t="shared" si="46"/>
        <v>303328.0329491595</v>
      </c>
      <c r="R101" s="107">
        <f t="shared" si="47"/>
        <v>17630.941915169897</v>
      </c>
      <c r="S101" s="107">
        <f t="shared" si="48"/>
        <v>11431.558084830103</v>
      </c>
      <c r="T101" s="108">
        <v>0.606656065898319</v>
      </c>
      <c r="U101" s="107"/>
      <c r="V101" s="106"/>
      <c r="W101" s="107">
        <f t="shared" si="42"/>
        <v>303328.0329491595</v>
      </c>
      <c r="X101" s="107">
        <f t="shared" si="42"/>
        <v>17630.941915169897</v>
      </c>
      <c r="Y101" s="109">
        <f t="shared" si="43"/>
        <v>303328.0329491595</v>
      </c>
      <c r="Z101" s="109">
        <f t="shared" si="43"/>
        <v>17630.941915169897</v>
      </c>
      <c r="AA101" s="109"/>
      <c r="AB101" s="109"/>
      <c r="AC101" s="109">
        <f t="shared" si="49"/>
        <v>17630.941915169897</v>
      </c>
      <c r="AD101" s="110">
        <v>303328.0329491595</v>
      </c>
      <c r="AE101" s="110">
        <f t="shared" si="27"/>
        <v>337031.14772128832</v>
      </c>
      <c r="AF101" s="110"/>
      <c r="AG101" s="111"/>
      <c r="AH101" s="111"/>
      <c r="AI101" s="111"/>
      <c r="AJ101" s="111"/>
      <c r="AK101" s="111"/>
      <c r="AL101" s="111">
        <f t="shared" si="44"/>
        <v>17630.941915169897</v>
      </c>
      <c r="AM101" s="111"/>
      <c r="AN101" s="111"/>
      <c r="AO101" s="111"/>
      <c r="AP101" s="111">
        <f>AL101-AM101-AN101-AO101-17630.94</f>
        <v>1.9151698979840148E-3</v>
      </c>
      <c r="AQ101" s="111"/>
      <c r="AR101" s="111">
        <f t="shared" si="32"/>
        <v>1.9151698979840148E-3</v>
      </c>
      <c r="AS101" s="111"/>
      <c r="AT101" s="111">
        <v>0</v>
      </c>
      <c r="AU101" s="111">
        <f t="shared" si="38"/>
        <v>1.9151698979840148E-3</v>
      </c>
      <c r="AV101" s="111"/>
      <c r="AW101" s="111"/>
      <c r="AX101" s="111"/>
      <c r="AY101" s="111"/>
      <c r="AZ101" s="111"/>
      <c r="BA101" s="111">
        <f t="shared" si="33"/>
        <v>0</v>
      </c>
      <c r="BB101" s="111"/>
      <c r="BC101" s="111"/>
      <c r="BD101" s="111"/>
      <c r="BE101" s="111"/>
      <c r="BF101" s="111"/>
      <c r="BG101" s="111"/>
      <c r="BH101" s="111">
        <f t="shared" si="35"/>
        <v>0</v>
      </c>
      <c r="BI101" s="111"/>
      <c r="BJ101" s="112">
        <f t="shared" si="30"/>
        <v>379160.04118644935</v>
      </c>
      <c r="BK101" s="112"/>
      <c r="BL101" s="112"/>
      <c r="BM101" s="113"/>
      <c r="BN101" s="113"/>
      <c r="BO101" s="113"/>
      <c r="BP101" s="113"/>
      <c r="BQ101" s="114">
        <f t="shared" si="45"/>
        <v>379160.04118644935</v>
      </c>
      <c r="BR101" s="114">
        <f t="shared" si="40"/>
        <v>433325.76135594217</v>
      </c>
      <c r="BS101" s="98"/>
      <c r="BT101" s="98"/>
      <c r="BU101" s="98"/>
      <c r="BV101" s="115">
        <f t="shared" si="41"/>
        <v>5.4915265892014765E-2</v>
      </c>
      <c r="BW101" s="115"/>
      <c r="BX101" s="116">
        <f t="shared" si="34"/>
        <v>8.5118662132622883E-2</v>
      </c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>
        <v>0</v>
      </c>
      <c r="CL101" s="116"/>
      <c r="CM101" s="117"/>
    </row>
    <row r="102" spans="1:93" s="118" customFormat="1" ht="25.5" x14ac:dyDescent="0.2">
      <c r="A102" s="98">
        <f>A101+1</f>
        <v>50</v>
      </c>
      <c r="B102" s="99">
        <f t="shared" si="36"/>
        <v>94</v>
      </c>
      <c r="C102" s="100" t="s">
        <v>250</v>
      </c>
      <c r="D102" s="101" t="s">
        <v>251</v>
      </c>
      <c r="E102" s="100" t="s">
        <v>95</v>
      </c>
      <c r="F102" s="100" t="s">
        <v>96</v>
      </c>
      <c r="G102" s="103">
        <v>43556</v>
      </c>
      <c r="H102" s="103">
        <v>43556</v>
      </c>
      <c r="I102" s="104">
        <v>500000</v>
      </c>
      <c r="J102" s="105">
        <v>7.7499999999999999E-2</v>
      </c>
      <c r="K102" s="105">
        <v>7.4999999999999997E-2</v>
      </c>
      <c r="L102" s="106">
        <v>0.9</v>
      </c>
      <c r="M102" s="107">
        <v>8</v>
      </c>
      <c r="N102" s="107"/>
      <c r="O102" s="106">
        <v>12</v>
      </c>
      <c r="P102" s="107">
        <f t="shared" si="54"/>
        <v>23250</v>
      </c>
      <c r="Q102" s="107">
        <f t="shared" si="46"/>
        <v>303328.0329491595</v>
      </c>
      <c r="R102" s="107">
        <f t="shared" si="47"/>
        <v>14104.753532135917</v>
      </c>
      <c r="S102" s="107">
        <f t="shared" si="48"/>
        <v>9145.2464678640827</v>
      </c>
      <c r="T102" s="108">
        <v>0.606656065898319</v>
      </c>
      <c r="U102" s="107"/>
      <c r="V102" s="106"/>
      <c r="W102" s="107">
        <f t="shared" si="42"/>
        <v>303328.0329491595</v>
      </c>
      <c r="X102" s="107">
        <f t="shared" si="42"/>
        <v>14104.753532135917</v>
      </c>
      <c r="Y102" s="109">
        <f t="shared" si="43"/>
        <v>303328.0329491595</v>
      </c>
      <c r="Z102" s="109">
        <f t="shared" si="43"/>
        <v>14104.753532135917</v>
      </c>
      <c r="AA102" s="109"/>
      <c r="AB102" s="109"/>
      <c r="AC102" s="109">
        <f t="shared" si="49"/>
        <v>14104.753532135917</v>
      </c>
      <c r="AD102" s="110">
        <v>242662.42635932763</v>
      </c>
      <c r="AE102" s="110">
        <f t="shared" si="27"/>
        <v>269624.91817703069</v>
      </c>
      <c r="AF102" s="110"/>
      <c r="AG102" s="111"/>
      <c r="AH102" s="111"/>
      <c r="AI102" s="111"/>
      <c r="AJ102" s="274">
        <v>13995.39</v>
      </c>
      <c r="AK102" s="274"/>
      <c r="AL102" s="111">
        <f t="shared" si="44"/>
        <v>109.36353213591792</v>
      </c>
      <c r="AM102" s="111"/>
      <c r="AN102" s="111"/>
      <c r="AO102" s="111"/>
      <c r="AP102" s="111">
        <f t="shared" si="39"/>
        <v>109.36353213591792</v>
      </c>
      <c r="AQ102" s="111"/>
      <c r="AR102" s="111">
        <f t="shared" si="32"/>
        <v>109.36353213591792</v>
      </c>
      <c r="AS102" s="111"/>
      <c r="AT102" s="111">
        <v>0</v>
      </c>
      <c r="AU102" s="111">
        <f t="shared" si="38"/>
        <v>109.36353213591792</v>
      </c>
      <c r="AV102" s="111"/>
      <c r="AW102" s="111"/>
      <c r="AX102" s="111"/>
      <c r="AY102" s="111"/>
      <c r="AZ102" s="111"/>
      <c r="BA102" s="111">
        <f t="shared" si="33"/>
        <v>0</v>
      </c>
      <c r="BB102" s="111"/>
      <c r="BC102" s="111"/>
      <c r="BD102" s="111"/>
      <c r="BE102" s="111"/>
      <c r="BF102" s="111"/>
      <c r="BG102" s="111"/>
      <c r="BH102" s="111">
        <f t="shared" si="35"/>
        <v>0</v>
      </c>
      <c r="BI102" s="111"/>
      <c r="BJ102" s="112">
        <f t="shared" si="30"/>
        <v>303328.0329491595</v>
      </c>
      <c r="BK102" s="112"/>
      <c r="BL102" s="112"/>
      <c r="BM102" s="113"/>
      <c r="BN102" s="113"/>
      <c r="BO102" s="112">
        <v>465000</v>
      </c>
      <c r="BP102" s="112"/>
      <c r="BQ102" s="114">
        <f t="shared" si="45"/>
        <v>-161671.9670508405</v>
      </c>
      <c r="BR102" s="114">
        <f t="shared" si="40"/>
        <v>2687.890190744527</v>
      </c>
      <c r="BS102" s="98"/>
      <c r="BT102" s="98"/>
      <c r="BU102" s="98"/>
      <c r="BV102" s="115">
        <f t="shared" si="41"/>
        <v>3135.8718892019479</v>
      </c>
      <c r="BW102" s="115"/>
      <c r="BX102" s="116">
        <f t="shared" si="34"/>
        <v>4860.6014282630185</v>
      </c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>
        <v>0</v>
      </c>
      <c r="CL102" s="116"/>
      <c r="CM102" s="117"/>
    </row>
    <row r="103" spans="1:93" s="2" customFormat="1" ht="25.5" x14ac:dyDescent="0.2">
      <c r="A103" s="161">
        <f t="shared" ref="A103:A105" si="55">A102+1</f>
        <v>51</v>
      </c>
      <c r="B103" s="145">
        <f t="shared" si="36"/>
        <v>95</v>
      </c>
      <c r="C103" s="148" t="s">
        <v>252</v>
      </c>
      <c r="D103" s="164" t="s">
        <v>253</v>
      </c>
      <c r="E103" s="148" t="s">
        <v>95</v>
      </c>
      <c r="F103" s="148" t="s">
        <v>96</v>
      </c>
      <c r="G103" s="149">
        <v>43556</v>
      </c>
      <c r="H103" s="149" t="s">
        <v>97</v>
      </c>
      <c r="I103" s="150">
        <v>600000</v>
      </c>
      <c r="J103" s="151">
        <v>7.7499999999999999E-2</v>
      </c>
      <c r="K103" s="151">
        <v>7.2499999999999995E-2</v>
      </c>
      <c r="L103" s="152">
        <v>0.9</v>
      </c>
      <c r="M103" s="153">
        <v>8</v>
      </c>
      <c r="N103" s="153">
        <v>2.5</v>
      </c>
      <c r="O103" s="152">
        <v>12</v>
      </c>
      <c r="P103" s="153">
        <f t="shared" si="54"/>
        <v>27900</v>
      </c>
      <c r="Q103" s="153">
        <f t="shared" si="46"/>
        <v>363993.63953899138</v>
      </c>
      <c r="R103" s="153">
        <f t="shared" si="47"/>
        <v>16925.704238563099</v>
      </c>
      <c r="S103" s="153">
        <f t="shared" si="48"/>
        <v>10974.295761436901</v>
      </c>
      <c r="T103" s="154">
        <v>0.606656065898319</v>
      </c>
      <c r="U103" s="153"/>
      <c r="V103" s="152"/>
      <c r="W103" s="153">
        <f t="shared" si="42"/>
        <v>363993.63953899138</v>
      </c>
      <c r="X103" s="153">
        <f t="shared" si="42"/>
        <v>16925.704238563099</v>
      </c>
      <c r="Y103" s="155">
        <f t="shared" si="43"/>
        <v>363993.63953899138</v>
      </c>
      <c r="Z103" s="155">
        <f t="shared" si="43"/>
        <v>16925.704238563099</v>
      </c>
      <c r="AA103" s="155"/>
      <c r="AB103" s="155"/>
      <c r="AC103" s="155">
        <f t="shared" si="49"/>
        <v>16925.704238563099</v>
      </c>
      <c r="AD103" s="156">
        <v>291194.91163119313</v>
      </c>
      <c r="AE103" s="156">
        <f t="shared" si="27"/>
        <v>323549.90181243682</v>
      </c>
      <c r="AF103" s="156"/>
      <c r="AG103" s="83"/>
      <c r="AH103" s="83"/>
      <c r="AI103" s="83"/>
      <c r="AJ103" s="83"/>
      <c r="AK103" s="83"/>
      <c r="AL103" s="83">
        <f t="shared" si="44"/>
        <v>16925.704238563099</v>
      </c>
      <c r="AM103" s="83"/>
      <c r="AN103" s="83"/>
      <c r="AO103" s="83"/>
      <c r="AP103" s="83">
        <f t="shared" si="39"/>
        <v>16925.704238563099</v>
      </c>
      <c r="AQ103" s="83"/>
      <c r="AR103" s="83">
        <f t="shared" si="32"/>
        <v>16925.704238563099</v>
      </c>
      <c r="AS103" s="83"/>
      <c r="AT103" s="83">
        <f>BY103*K103*L103*N103/O103</f>
        <v>8156.25</v>
      </c>
      <c r="AU103" s="83">
        <f t="shared" si="38"/>
        <v>8769.4542385630994</v>
      </c>
      <c r="AV103" s="83"/>
      <c r="AW103" s="83"/>
      <c r="AX103" s="83"/>
      <c r="AY103" s="83">
        <v>13500</v>
      </c>
      <c r="AZ103" s="83"/>
      <c r="BA103" s="83">
        <f t="shared" si="33"/>
        <v>13500</v>
      </c>
      <c r="BB103" s="83"/>
      <c r="BC103" s="83"/>
      <c r="BD103" s="83"/>
      <c r="BE103" s="83"/>
      <c r="BF103" s="83"/>
      <c r="BG103" s="83"/>
      <c r="BH103" s="83">
        <f t="shared" si="35"/>
        <v>13500</v>
      </c>
      <c r="BI103" s="83">
        <f>CK103*K103*L103*N103/O103</f>
        <v>10195.312499999998</v>
      </c>
      <c r="BJ103" s="159">
        <f t="shared" si="30"/>
        <v>363993.63953899138</v>
      </c>
      <c r="BK103" s="159"/>
      <c r="BL103" s="159"/>
      <c r="BM103" s="89"/>
      <c r="BN103" s="89"/>
      <c r="BO103" s="89"/>
      <c r="BP103" s="89"/>
      <c r="BQ103" s="160">
        <f t="shared" si="45"/>
        <v>363993.63953899138</v>
      </c>
      <c r="BR103" s="160">
        <f t="shared" si="40"/>
        <v>415992.73090170452</v>
      </c>
      <c r="BS103" s="161"/>
      <c r="BT103" s="161"/>
      <c r="BU103" s="161"/>
      <c r="BV103" s="162">
        <f t="shared" si="41"/>
        <v>485324.85271865525</v>
      </c>
      <c r="BW103" s="162"/>
      <c r="BX103" s="95">
        <f t="shared" si="34"/>
        <v>778193.29832474014</v>
      </c>
      <c r="BY103" s="95">
        <v>600000</v>
      </c>
      <c r="BZ103" s="95"/>
      <c r="CA103" s="95"/>
      <c r="CB103" s="95"/>
      <c r="CC103" s="95"/>
      <c r="CD103" s="95">
        <v>600000</v>
      </c>
      <c r="CE103" s="95"/>
      <c r="CF103" s="95"/>
      <c r="CG103" s="95"/>
      <c r="CH103" s="95"/>
      <c r="CI103" s="95"/>
      <c r="CJ103" s="95"/>
      <c r="CK103" s="95">
        <v>750000</v>
      </c>
      <c r="CL103" s="95">
        <v>700000</v>
      </c>
      <c r="CM103" s="216" t="s">
        <v>105</v>
      </c>
      <c r="CN103" s="174" t="s">
        <v>106</v>
      </c>
    </row>
    <row r="104" spans="1:93" s="118" customFormat="1" ht="25.5" x14ac:dyDescent="0.2">
      <c r="A104" s="98">
        <f t="shared" si="55"/>
        <v>52</v>
      </c>
      <c r="B104" s="99">
        <f t="shared" si="36"/>
        <v>96</v>
      </c>
      <c r="C104" s="100" t="s">
        <v>254</v>
      </c>
      <c r="D104" s="101" t="s">
        <v>255</v>
      </c>
      <c r="E104" s="100" t="s">
        <v>95</v>
      </c>
      <c r="F104" s="100" t="s">
        <v>96</v>
      </c>
      <c r="G104" s="103">
        <v>43497</v>
      </c>
      <c r="H104" s="173" t="s">
        <v>142</v>
      </c>
      <c r="I104" s="104">
        <v>10000000</v>
      </c>
      <c r="J104" s="105">
        <v>7.7499999999999999E-2</v>
      </c>
      <c r="K104" s="105">
        <v>7.4999999999999997E-2</v>
      </c>
      <c r="L104" s="106">
        <v>0.9</v>
      </c>
      <c r="M104" s="107">
        <v>10</v>
      </c>
      <c r="N104" s="107">
        <v>4</v>
      </c>
      <c r="O104" s="106">
        <v>12</v>
      </c>
      <c r="P104" s="107">
        <f t="shared" si="54"/>
        <v>581250</v>
      </c>
      <c r="Q104" s="107">
        <f t="shared" si="46"/>
        <v>6066560.6589831896</v>
      </c>
      <c r="R104" s="107">
        <f t="shared" si="47"/>
        <v>352618.83830339788</v>
      </c>
      <c r="S104" s="107">
        <f t="shared" si="48"/>
        <v>228631.16169660212</v>
      </c>
      <c r="T104" s="108">
        <v>0.606656065898319</v>
      </c>
      <c r="U104" s="107"/>
      <c r="V104" s="106"/>
      <c r="W104" s="107">
        <f t="shared" si="42"/>
        <v>6066560.6589831896</v>
      </c>
      <c r="X104" s="107">
        <f t="shared" si="42"/>
        <v>352618.83830339788</v>
      </c>
      <c r="Y104" s="109">
        <f t="shared" si="43"/>
        <v>6066560.6589831896</v>
      </c>
      <c r="Z104" s="109">
        <f t="shared" si="43"/>
        <v>352618.83830339788</v>
      </c>
      <c r="AA104" s="109"/>
      <c r="AB104" s="109"/>
      <c r="AC104" s="109">
        <f t="shared" si="49"/>
        <v>352618.83830339788</v>
      </c>
      <c r="AD104" s="110">
        <v>6066560.6589831896</v>
      </c>
      <c r="AE104" s="110">
        <f t="shared" si="27"/>
        <v>6740622.9544257652</v>
      </c>
      <c r="AF104" s="110">
        <v>325500</v>
      </c>
      <c r="AG104" s="111"/>
      <c r="AH104" s="111"/>
      <c r="AI104" s="111"/>
      <c r="AJ104" s="111"/>
      <c r="AK104" s="111"/>
      <c r="AL104" s="111">
        <f t="shared" si="44"/>
        <v>27118.838303397875</v>
      </c>
      <c r="AM104" s="111"/>
      <c r="AN104" s="111"/>
      <c r="AO104" s="111"/>
      <c r="AP104" s="111">
        <f t="shared" si="39"/>
        <v>27118.838303397875</v>
      </c>
      <c r="AQ104" s="111"/>
      <c r="AR104" s="111">
        <f t="shared" si="32"/>
        <v>27118.838303397875</v>
      </c>
      <c r="AS104" s="111"/>
      <c r="AT104" s="111">
        <v>67500</v>
      </c>
      <c r="AU104" s="111">
        <f t="shared" si="38"/>
        <v>-40381.161696602125</v>
      </c>
      <c r="AV104" s="111"/>
      <c r="AW104" s="111"/>
      <c r="AX104" s="111"/>
      <c r="AY104" s="111">
        <v>67500</v>
      </c>
      <c r="AZ104" s="111"/>
      <c r="BA104" s="111">
        <f t="shared" si="33"/>
        <v>67500</v>
      </c>
      <c r="BB104" s="111"/>
      <c r="BC104" s="111"/>
      <c r="BD104" s="111"/>
      <c r="BE104" s="111"/>
      <c r="BF104" s="111"/>
      <c r="BG104" s="111"/>
      <c r="BH104" s="111">
        <f t="shared" si="35"/>
        <v>67500</v>
      </c>
      <c r="BI104" s="111">
        <v>0</v>
      </c>
      <c r="BJ104" s="112">
        <f t="shared" si="30"/>
        <v>7583200.8237289861</v>
      </c>
      <c r="BK104" s="200">
        <v>7000000</v>
      </c>
      <c r="BL104" s="200"/>
      <c r="BM104" s="113"/>
      <c r="BN104" s="113"/>
      <c r="BO104" s="113"/>
      <c r="BP104" s="113"/>
      <c r="BQ104" s="114">
        <f t="shared" si="45"/>
        <v>583200.82372898608</v>
      </c>
      <c r="BR104" s="114">
        <f t="shared" si="40"/>
        <v>666515.22711884172</v>
      </c>
      <c r="BS104" s="98"/>
      <c r="BT104" s="98"/>
      <c r="BU104" s="98"/>
      <c r="BV104" s="115">
        <f t="shared" si="41"/>
        <v>777601.09830531536</v>
      </c>
      <c r="BW104" s="115"/>
      <c r="BX104" s="116">
        <f t="shared" si="34"/>
        <v>1205281.702373239</v>
      </c>
      <c r="BY104" s="116">
        <v>3000000</v>
      </c>
      <c r="BZ104" s="116"/>
      <c r="CA104" s="116"/>
      <c r="CB104" s="116"/>
      <c r="CC104" s="116"/>
      <c r="CD104" s="116">
        <v>3000000</v>
      </c>
      <c r="CE104" s="116"/>
      <c r="CF104" s="116"/>
      <c r="CG104" s="116"/>
      <c r="CH104" s="116"/>
      <c r="CI104" s="116"/>
      <c r="CJ104" s="116"/>
      <c r="CK104" s="116">
        <v>0</v>
      </c>
      <c r="CL104" s="116">
        <v>3000000</v>
      </c>
      <c r="CM104" s="117"/>
      <c r="CN104" s="118" t="s">
        <v>95</v>
      </c>
    </row>
    <row r="105" spans="1:93" s="118" customFormat="1" ht="25.5" x14ac:dyDescent="0.2">
      <c r="A105" s="98">
        <f t="shared" si="55"/>
        <v>53</v>
      </c>
      <c r="B105" s="99">
        <f t="shared" si="36"/>
        <v>97</v>
      </c>
      <c r="C105" s="100" t="s">
        <v>256</v>
      </c>
      <c r="D105" s="101" t="s">
        <v>257</v>
      </c>
      <c r="E105" s="100" t="s">
        <v>95</v>
      </c>
      <c r="F105" s="100" t="s">
        <v>96</v>
      </c>
      <c r="G105" s="103">
        <v>43525</v>
      </c>
      <c r="H105" s="218" t="s">
        <v>258</v>
      </c>
      <c r="I105" s="104">
        <v>300000</v>
      </c>
      <c r="J105" s="105">
        <v>7.7499999999999999E-2</v>
      </c>
      <c r="K105" s="105">
        <v>7.4999999999999997E-2</v>
      </c>
      <c r="L105" s="106">
        <v>0.9</v>
      </c>
      <c r="M105" s="107">
        <v>9</v>
      </c>
      <c r="N105" s="107">
        <v>4</v>
      </c>
      <c r="O105" s="106">
        <v>12</v>
      </c>
      <c r="P105" s="107">
        <f t="shared" si="54"/>
        <v>15693.75</v>
      </c>
      <c r="Q105" s="107">
        <f t="shared" si="46"/>
        <v>181996.81976949569</v>
      </c>
      <c r="R105" s="107">
        <f t="shared" si="47"/>
        <v>9520.7086341917438</v>
      </c>
      <c r="S105" s="107">
        <f t="shared" si="48"/>
        <v>6173.0413658082562</v>
      </c>
      <c r="T105" s="108">
        <v>0.606656065898319</v>
      </c>
      <c r="U105" s="107"/>
      <c r="V105" s="106"/>
      <c r="W105" s="107">
        <f t="shared" si="42"/>
        <v>181996.81976949569</v>
      </c>
      <c r="X105" s="107">
        <f t="shared" si="42"/>
        <v>9520.7086341917438</v>
      </c>
      <c r="Y105" s="109">
        <f t="shared" si="43"/>
        <v>181996.81976949569</v>
      </c>
      <c r="Z105" s="109">
        <f t="shared" si="43"/>
        <v>9520.7086341917438</v>
      </c>
      <c r="AA105" s="109"/>
      <c r="AB105" s="109"/>
      <c r="AC105" s="109">
        <f t="shared" si="49"/>
        <v>9520.7086341917438</v>
      </c>
      <c r="AD105" s="110">
        <v>163797.13779254613</v>
      </c>
      <c r="AE105" s="110">
        <f t="shared" si="27"/>
        <v>181996.81976949572</v>
      </c>
      <c r="AF105" s="110"/>
      <c r="AG105" s="111"/>
      <c r="AH105" s="111"/>
      <c r="AI105" s="111"/>
      <c r="AJ105" s="111"/>
      <c r="AK105" s="111"/>
      <c r="AL105" s="111">
        <f t="shared" si="44"/>
        <v>9520.7086341917438</v>
      </c>
      <c r="AM105" s="111"/>
      <c r="AN105" s="111"/>
      <c r="AO105" s="111"/>
      <c r="AP105" s="111">
        <f t="shared" si="39"/>
        <v>9520.7086341917438</v>
      </c>
      <c r="AQ105" s="111"/>
      <c r="AR105" s="111">
        <f t="shared" si="32"/>
        <v>9520.7086341917438</v>
      </c>
      <c r="AS105" s="111"/>
      <c r="AT105" s="111">
        <v>0</v>
      </c>
      <c r="AU105" s="111">
        <f t="shared" si="38"/>
        <v>9520.7086341917438</v>
      </c>
      <c r="AV105" s="111"/>
      <c r="AW105" s="111"/>
      <c r="AX105" s="111"/>
      <c r="AY105" s="111">
        <v>0</v>
      </c>
      <c r="AZ105" s="111"/>
      <c r="BA105" s="85">
        <f t="shared" si="33"/>
        <v>0</v>
      </c>
      <c r="BB105" s="85"/>
      <c r="BC105" s="85"/>
      <c r="BD105" s="85"/>
      <c r="BE105" s="85"/>
      <c r="BF105" s="85"/>
      <c r="BG105" s="85"/>
      <c r="BH105" s="111">
        <f t="shared" si="35"/>
        <v>0</v>
      </c>
      <c r="BI105" s="111"/>
      <c r="BJ105" s="112">
        <f t="shared" si="30"/>
        <v>204746.42224068267</v>
      </c>
      <c r="BK105" s="112"/>
      <c r="BL105" s="112"/>
      <c r="BM105" s="113"/>
      <c r="BN105" s="113"/>
      <c r="BO105" s="113"/>
      <c r="BP105" s="113"/>
      <c r="BQ105" s="114">
        <f t="shared" si="45"/>
        <v>204746.42224068267</v>
      </c>
      <c r="BR105" s="114">
        <f t="shared" si="40"/>
        <v>233995.91113220877</v>
      </c>
      <c r="BS105" s="98"/>
      <c r="BT105" s="98"/>
      <c r="BU105" s="98"/>
      <c r="BV105" s="115">
        <f t="shared" si="41"/>
        <v>272995.22965424357</v>
      </c>
      <c r="BW105" s="115"/>
      <c r="BX105" s="116">
        <f t="shared" si="34"/>
        <v>423142.60596407752</v>
      </c>
      <c r="BY105" s="116">
        <v>0</v>
      </c>
      <c r="BZ105" s="116"/>
      <c r="CA105" s="116"/>
      <c r="CB105" s="116"/>
      <c r="CC105" s="116"/>
      <c r="CD105" s="116">
        <v>0</v>
      </c>
      <c r="CE105" s="116"/>
      <c r="CF105" s="116"/>
      <c r="CG105" s="116"/>
      <c r="CH105" s="116"/>
      <c r="CI105" s="116"/>
      <c r="CJ105" s="116"/>
      <c r="CK105" s="116">
        <v>0</v>
      </c>
      <c r="CL105" s="116"/>
      <c r="CM105" s="217" t="s">
        <v>259</v>
      </c>
      <c r="CN105" s="118" t="s">
        <v>95</v>
      </c>
    </row>
    <row r="106" spans="1:93" s="120" customFormat="1" ht="25.5" x14ac:dyDescent="0.2">
      <c r="A106" s="98">
        <f>A105+1</f>
        <v>54</v>
      </c>
      <c r="B106" s="99">
        <f t="shared" si="36"/>
        <v>98</v>
      </c>
      <c r="C106" s="122" t="s">
        <v>260</v>
      </c>
      <c r="D106" s="123" t="s">
        <v>261</v>
      </c>
      <c r="E106" s="122" t="s">
        <v>95</v>
      </c>
      <c r="F106" s="100" t="s">
        <v>96</v>
      </c>
      <c r="G106" s="124">
        <v>43556</v>
      </c>
      <c r="H106" s="124">
        <v>43556</v>
      </c>
      <c r="I106" s="125">
        <v>8000000</v>
      </c>
      <c r="J106" s="126">
        <v>7.7499999999999999E-2</v>
      </c>
      <c r="K106" s="105">
        <v>7.4999999999999997E-2</v>
      </c>
      <c r="L106" s="127">
        <v>0.9</v>
      </c>
      <c r="M106" s="128">
        <v>8</v>
      </c>
      <c r="N106" s="128"/>
      <c r="O106" s="127">
        <v>12</v>
      </c>
      <c r="P106" s="128">
        <f t="shared" si="54"/>
        <v>372000</v>
      </c>
      <c r="Q106" s="128">
        <f t="shared" si="46"/>
        <v>4853248.5271865521</v>
      </c>
      <c r="R106" s="128">
        <f t="shared" si="47"/>
        <v>225676.05651417468</v>
      </c>
      <c r="S106" s="128">
        <f t="shared" si="48"/>
        <v>146323.94348582532</v>
      </c>
      <c r="T106" s="129">
        <v>0.606656065898319</v>
      </c>
      <c r="U106" s="172">
        <v>8000000</v>
      </c>
      <c r="V106" s="141">
        <v>465000</v>
      </c>
      <c r="W106" s="128">
        <f t="shared" si="42"/>
        <v>-3146751.4728134479</v>
      </c>
      <c r="X106" s="128">
        <f t="shared" si="42"/>
        <v>-239323.94348582532</v>
      </c>
      <c r="Y106" s="130">
        <f t="shared" si="43"/>
        <v>-3146751.4728134479</v>
      </c>
      <c r="Z106" s="130">
        <f t="shared" si="43"/>
        <v>-239323.94348582532</v>
      </c>
      <c r="AA106" s="130"/>
      <c r="AB106" s="130"/>
      <c r="AC106" s="130">
        <f t="shared" si="49"/>
        <v>-239323.94348582532</v>
      </c>
      <c r="AD106" s="131">
        <v>-4117401.178250758</v>
      </c>
      <c r="AE106" s="131">
        <f t="shared" si="27"/>
        <v>-4574890.198056397</v>
      </c>
      <c r="AF106" s="131"/>
      <c r="AG106" s="132"/>
      <c r="AH106" s="132"/>
      <c r="AI106" s="132"/>
      <c r="AJ106" s="132"/>
      <c r="AK106" s="132"/>
      <c r="AL106" s="111">
        <f t="shared" si="44"/>
        <v>-239323.94348582532</v>
      </c>
      <c r="AM106" s="111"/>
      <c r="AN106" s="111"/>
      <c r="AO106" s="111"/>
      <c r="AP106" s="111">
        <f t="shared" si="39"/>
        <v>-239323.94348582532</v>
      </c>
      <c r="AQ106" s="111"/>
      <c r="AR106" s="111">
        <f t="shared" si="32"/>
        <v>-239323.94348582532</v>
      </c>
      <c r="AS106" s="111"/>
      <c r="AT106" s="111">
        <v>0</v>
      </c>
      <c r="AU106" s="111"/>
      <c r="AV106" s="111"/>
      <c r="AW106" s="111"/>
      <c r="AX106" s="111"/>
      <c r="AY106" s="111"/>
      <c r="AZ106" s="111"/>
      <c r="BA106" s="111">
        <f t="shared" si="33"/>
        <v>0</v>
      </c>
      <c r="BB106" s="111"/>
      <c r="BC106" s="111"/>
      <c r="BD106" s="111"/>
      <c r="BE106" s="111"/>
      <c r="BF106" s="111"/>
      <c r="BG106" s="111"/>
      <c r="BH106" s="111">
        <f t="shared" si="35"/>
        <v>0</v>
      </c>
      <c r="BI106" s="111"/>
      <c r="BJ106" s="133">
        <f t="shared" si="30"/>
        <v>-5146751.472813447</v>
      </c>
      <c r="BK106" s="134"/>
      <c r="BL106" s="134"/>
      <c r="BM106" s="135"/>
      <c r="BN106" s="135"/>
      <c r="BO106" s="135"/>
      <c r="BP106" s="135"/>
      <c r="BQ106" s="114">
        <f t="shared" si="45"/>
        <v>-5146751.472813447</v>
      </c>
      <c r="BR106" s="114">
        <f t="shared" si="40"/>
        <v>-5882001.6832153685</v>
      </c>
      <c r="BS106" s="136"/>
      <c r="BT106" s="136"/>
      <c r="BU106" s="136"/>
      <c r="BV106" s="115">
        <f t="shared" si="41"/>
        <v>-6862335.297084596</v>
      </c>
      <c r="BW106" s="115"/>
      <c r="BX106" s="116">
        <f t="shared" si="34"/>
        <v>-10636619.710481126</v>
      </c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>
        <v>0</v>
      </c>
      <c r="CL106" s="116"/>
      <c r="CM106" s="119"/>
    </row>
    <row r="107" spans="1:93" s="120" customFormat="1" ht="25.5" x14ac:dyDescent="0.2">
      <c r="B107" s="99">
        <f t="shared" si="36"/>
        <v>99</v>
      </c>
      <c r="C107" s="122" t="s">
        <v>260</v>
      </c>
      <c r="D107" s="123" t="s">
        <v>261</v>
      </c>
      <c r="E107" s="122"/>
      <c r="F107" s="100" t="s">
        <v>96</v>
      </c>
      <c r="G107" s="124"/>
      <c r="H107" s="124" t="s">
        <v>142</v>
      </c>
      <c r="I107" s="125"/>
      <c r="J107" s="126"/>
      <c r="K107" s="105">
        <v>7.4999999999999997E-2</v>
      </c>
      <c r="L107" s="106">
        <v>0.9</v>
      </c>
      <c r="M107" s="107">
        <v>9</v>
      </c>
      <c r="N107" s="107">
        <v>4</v>
      </c>
      <c r="O107" s="106">
        <v>12</v>
      </c>
      <c r="P107" s="128"/>
      <c r="Q107" s="128"/>
      <c r="R107" s="128"/>
      <c r="S107" s="128"/>
      <c r="T107" s="129"/>
      <c r="U107" s="172"/>
      <c r="V107" s="141"/>
      <c r="W107" s="128"/>
      <c r="X107" s="128"/>
      <c r="Y107" s="130"/>
      <c r="Z107" s="130"/>
      <c r="AA107" s="130"/>
      <c r="AB107" s="130"/>
      <c r="AC107" s="130"/>
      <c r="AD107" s="131"/>
      <c r="AE107" s="131"/>
      <c r="AF107" s="131"/>
      <c r="AG107" s="132"/>
      <c r="AH107" s="132"/>
      <c r="AI107" s="132"/>
      <c r="AJ107" s="132"/>
      <c r="AK107" s="132"/>
      <c r="AL107" s="111"/>
      <c r="AM107" s="111"/>
      <c r="AN107" s="111"/>
      <c r="AO107" s="111"/>
      <c r="AP107" s="111"/>
      <c r="AQ107" s="111"/>
      <c r="AR107" s="111">
        <f t="shared" si="32"/>
        <v>0</v>
      </c>
      <c r="AS107" s="111"/>
      <c r="AT107" s="111">
        <v>0</v>
      </c>
      <c r="AU107" s="111">
        <f>AR107-AT107</f>
        <v>0</v>
      </c>
      <c r="AV107" s="111"/>
      <c r="AW107" s="111"/>
      <c r="AX107" s="111"/>
      <c r="AY107" s="111"/>
      <c r="AZ107" s="111"/>
      <c r="BA107" s="111">
        <f>CL107*7.25%*0.9*3.5/12</f>
        <v>57093.749999999993</v>
      </c>
      <c r="BB107" s="111"/>
      <c r="BC107" s="111"/>
      <c r="BD107" s="111"/>
      <c r="BE107" s="111"/>
      <c r="BF107" s="111"/>
      <c r="BG107" s="111"/>
      <c r="BH107" s="111">
        <f t="shared" si="35"/>
        <v>57093.749999999993</v>
      </c>
      <c r="BI107" s="111"/>
      <c r="BJ107" s="133"/>
      <c r="BK107" s="134"/>
      <c r="BL107" s="134"/>
      <c r="BM107" s="135"/>
      <c r="BN107" s="135"/>
      <c r="BO107" s="135"/>
      <c r="BP107" s="135"/>
      <c r="BQ107" s="114"/>
      <c r="BR107" s="114"/>
      <c r="BS107" s="136"/>
      <c r="BT107" s="136"/>
      <c r="BU107" s="136"/>
      <c r="BV107" s="115"/>
      <c r="BW107" s="115"/>
      <c r="BX107" s="116">
        <f t="shared" si="34"/>
        <v>0</v>
      </c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>
        <v>0</v>
      </c>
      <c r="CL107" s="116">
        <v>3000000</v>
      </c>
      <c r="CM107" s="119" t="s">
        <v>105</v>
      </c>
      <c r="CN107" s="120" t="s">
        <v>106</v>
      </c>
    </row>
    <row r="108" spans="1:93" s="120" customFormat="1" ht="25.5" x14ac:dyDescent="0.2">
      <c r="A108" s="120">
        <f>A106+1</f>
        <v>55</v>
      </c>
      <c r="B108" s="99">
        <f t="shared" si="36"/>
        <v>100</v>
      </c>
      <c r="C108" s="122" t="s">
        <v>262</v>
      </c>
      <c r="D108" s="123" t="s">
        <v>263</v>
      </c>
      <c r="E108" s="122" t="s">
        <v>95</v>
      </c>
      <c r="F108" s="100" t="s">
        <v>96</v>
      </c>
      <c r="G108" s="124">
        <v>43556</v>
      </c>
      <c r="H108" s="124">
        <v>43556</v>
      </c>
      <c r="I108" s="125">
        <v>10000000</v>
      </c>
      <c r="J108" s="126">
        <v>7.7499999999999999E-2</v>
      </c>
      <c r="K108" s="105">
        <v>7.4999999999999997E-2</v>
      </c>
      <c r="L108" s="127">
        <v>0.9</v>
      </c>
      <c r="M108" s="128">
        <v>8</v>
      </c>
      <c r="N108" s="128"/>
      <c r="O108" s="127">
        <v>12</v>
      </c>
      <c r="P108" s="128">
        <f t="shared" si="54"/>
        <v>465000</v>
      </c>
      <c r="Q108" s="128">
        <f t="shared" si="46"/>
        <v>6066560.6589831896</v>
      </c>
      <c r="R108" s="128">
        <f t="shared" si="47"/>
        <v>282095.07064271829</v>
      </c>
      <c r="S108" s="128">
        <f t="shared" si="48"/>
        <v>182904.92935728171</v>
      </c>
      <c r="T108" s="129">
        <v>0.606656065898319</v>
      </c>
      <c r="U108" s="172">
        <v>10000000</v>
      </c>
      <c r="V108" s="141">
        <v>581250</v>
      </c>
      <c r="W108" s="128">
        <f t="shared" si="42"/>
        <v>-3933439.3410168104</v>
      </c>
      <c r="X108" s="128">
        <f t="shared" si="42"/>
        <v>-299154.92935728171</v>
      </c>
      <c r="Y108" s="130">
        <f t="shared" si="43"/>
        <v>-3933439.3410168104</v>
      </c>
      <c r="Z108" s="130">
        <f t="shared" si="43"/>
        <v>-299154.92935728171</v>
      </c>
      <c r="AA108" s="130"/>
      <c r="AB108" s="130"/>
      <c r="AC108" s="130">
        <f t="shared" si="49"/>
        <v>-299154.92935728171</v>
      </c>
      <c r="AD108" s="131">
        <v>-5146751.4728134479</v>
      </c>
      <c r="AE108" s="131">
        <f t="shared" si="27"/>
        <v>-5718612.7475704979</v>
      </c>
      <c r="AF108" s="131"/>
      <c r="AG108" s="132"/>
      <c r="AH108" s="132"/>
      <c r="AI108" s="132"/>
      <c r="AJ108" s="132"/>
      <c r="AK108" s="132"/>
      <c r="AL108" s="111">
        <f t="shared" si="44"/>
        <v>-299154.92935728171</v>
      </c>
      <c r="AM108" s="111"/>
      <c r="AN108" s="111"/>
      <c r="AO108" s="111"/>
      <c r="AP108" s="111">
        <f t="shared" si="39"/>
        <v>-299154.92935728171</v>
      </c>
      <c r="AQ108" s="111"/>
      <c r="AR108" s="111">
        <f t="shared" si="32"/>
        <v>-299154.92935728171</v>
      </c>
      <c r="AS108" s="111"/>
      <c r="AT108" s="111">
        <v>0</v>
      </c>
      <c r="AU108" s="111"/>
      <c r="AV108" s="111"/>
      <c r="AW108" s="111"/>
      <c r="AX108" s="111"/>
      <c r="AY108" s="111"/>
      <c r="AZ108" s="111"/>
      <c r="BA108" s="111">
        <f t="shared" si="33"/>
        <v>0</v>
      </c>
      <c r="BB108" s="111"/>
      <c r="BC108" s="111"/>
      <c r="BD108" s="111"/>
      <c r="BE108" s="111"/>
      <c r="BF108" s="111"/>
      <c r="BG108" s="111"/>
      <c r="BH108" s="111">
        <f t="shared" si="35"/>
        <v>0</v>
      </c>
      <c r="BI108" s="111"/>
      <c r="BJ108" s="133">
        <f t="shared" si="30"/>
        <v>-6433439.3410168104</v>
      </c>
      <c r="BK108" s="134"/>
      <c r="BL108" s="134"/>
      <c r="BM108" s="135"/>
      <c r="BN108" s="135"/>
      <c r="BO108" s="135"/>
      <c r="BP108" s="135"/>
      <c r="BQ108" s="114">
        <f t="shared" si="45"/>
        <v>-6433439.3410168104</v>
      </c>
      <c r="BR108" s="114">
        <f t="shared" si="40"/>
        <v>-7352502.1040192135</v>
      </c>
      <c r="BS108" s="136"/>
      <c r="BT108" s="136"/>
      <c r="BU108" s="136"/>
      <c r="BV108" s="115">
        <f t="shared" si="41"/>
        <v>-8577919.1213557478</v>
      </c>
      <c r="BW108" s="115"/>
      <c r="BX108" s="116">
        <f t="shared" si="34"/>
        <v>-13295774.63810141</v>
      </c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>
        <v>0</v>
      </c>
      <c r="CL108" s="116"/>
      <c r="CM108" s="119"/>
    </row>
    <row r="109" spans="1:93" s="120" customFormat="1" ht="25.5" x14ac:dyDescent="0.2">
      <c r="B109" s="99">
        <f t="shared" si="36"/>
        <v>101</v>
      </c>
      <c r="C109" s="122" t="s">
        <v>262</v>
      </c>
      <c r="D109" s="123" t="s">
        <v>263</v>
      </c>
      <c r="E109" s="122"/>
      <c r="F109" s="100" t="s">
        <v>96</v>
      </c>
      <c r="G109" s="124"/>
      <c r="H109" s="124" t="s">
        <v>142</v>
      </c>
      <c r="I109" s="125"/>
      <c r="J109" s="126"/>
      <c r="K109" s="105">
        <v>7.4999999999999997E-2</v>
      </c>
      <c r="L109" s="106">
        <v>0.9</v>
      </c>
      <c r="M109" s="107">
        <v>9</v>
      </c>
      <c r="N109" s="107">
        <v>4</v>
      </c>
      <c r="O109" s="106">
        <v>12</v>
      </c>
      <c r="P109" s="128"/>
      <c r="Q109" s="128"/>
      <c r="R109" s="128"/>
      <c r="S109" s="128"/>
      <c r="T109" s="129"/>
      <c r="U109" s="172"/>
      <c r="V109" s="141"/>
      <c r="W109" s="128"/>
      <c r="X109" s="128"/>
      <c r="Y109" s="130"/>
      <c r="Z109" s="130"/>
      <c r="AA109" s="130"/>
      <c r="AB109" s="130"/>
      <c r="AC109" s="130"/>
      <c r="AD109" s="131"/>
      <c r="AE109" s="131"/>
      <c r="AF109" s="131"/>
      <c r="AG109" s="132"/>
      <c r="AH109" s="132"/>
      <c r="AI109" s="132"/>
      <c r="AJ109" s="132"/>
      <c r="AK109" s="132"/>
      <c r="AL109" s="111"/>
      <c r="AM109" s="111"/>
      <c r="AN109" s="111"/>
      <c r="AO109" s="111"/>
      <c r="AP109" s="111"/>
      <c r="AQ109" s="111"/>
      <c r="AR109" s="111">
        <f t="shared" si="32"/>
        <v>0</v>
      </c>
      <c r="AS109" s="111"/>
      <c r="AT109" s="111">
        <v>0</v>
      </c>
      <c r="AU109" s="111">
        <f>AR109-AT109</f>
        <v>0</v>
      </c>
      <c r="AV109" s="111"/>
      <c r="AW109" s="111"/>
      <c r="AX109" s="111"/>
      <c r="AY109" s="111"/>
      <c r="AZ109" s="111"/>
      <c r="BA109" s="111">
        <f>CL109*7.25%*0.9*3.5/12</f>
        <v>57093.749999999993</v>
      </c>
      <c r="BB109" s="111"/>
      <c r="BC109" s="111"/>
      <c r="BD109" s="111"/>
      <c r="BE109" s="111"/>
      <c r="BF109" s="111"/>
      <c r="BG109" s="111"/>
      <c r="BH109" s="111">
        <f t="shared" si="35"/>
        <v>57093.749999999993</v>
      </c>
      <c r="BI109" s="111"/>
      <c r="BJ109" s="133"/>
      <c r="BK109" s="134"/>
      <c r="BL109" s="134"/>
      <c r="BM109" s="135"/>
      <c r="BN109" s="135"/>
      <c r="BO109" s="135"/>
      <c r="BP109" s="135"/>
      <c r="BQ109" s="114"/>
      <c r="BR109" s="114"/>
      <c r="BS109" s="136"/>
      <c r="BT109" s="136"/>
      <c r="BU109" s="136"/>
      <c r="BV109" s="115"/>
      <c r="BW109" s="115"/>
      <c r="BX109" s="116">
        <f t="shared" si="34"/>
        <v>0</v>
      </c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>
        <v>0</v>
      </c>
      <c r="CL109" s="116">
        <v>3000000</v>
      </c>
      <c r="CM109" s="119" t="s">
        <v>105</v>
      </c>
      <c r="CN109" s="120" t="s">
        <v>106</v>
      </c>
    </row>
    <row r="110" spans="1:93" s="120" customFormat="1" ht="25.5" x14ac:dyDescent="0.2">
      <c r="A110" s="120">
        <f>A108+1</f>
        <v>56</v>
      </c>
      <c r="B110" s="99">
        <f t="shared" si="36"/>
        <v>102</v>
      </c>
      <c r="C110" s="122" t="s">
        <v>264</v>
      </c>
      <c r="D110" s="123" t="s">
        <v>265</v>
      </c>
      <c r="E110" s="122" t="s">
        <v>95</v>
      </c>
      <c r="F110" s="100" t="s">
        <v>96</v>
      </c>
      <c r="G110" s="124">
        <v>43525</v>
      </c>
      <c r="H110" s="124">
        <v>43525</v>
      </c>
      <c r="I110" s="125">
        <v>15000000</v>
      </c>
      <c r="J110" s="126">
        <v>7.7499999999999999E-2</v>
      </c>
      <c r="K110" s="105">
        <v>7.4999999999999997E-2</v>
      </c>
      <c r="L110" s="127">
        <v>0.9</v>
      </c>
      <c r="M110" s="128">
        <v>9</v>
      </c>
      <c r="N110" s="128"/>
      <c r="O110" s="127">
        <v>12</v>
      </c>
      <c r="P110" s="128">
        <f t="shared" si="54"/>
        <v>784687.5</v>
      </c>
      <c r="Q110" s="128">
        <f t="shared" si="46"/>
        <v>9099840.9884747844</v>
      </c>
      <c r="R110" s="128">
        <f t="shared" si="47"/>
        <v>476035.43170958717</v>
      </c>
      <c r="S110" s="128">
        <f t="shared" si="48"/>
        <v>308652.06829041283</v>
      </c>
      <c r="T110" s="129">
        <v>0.606656065898319</v>
      </c>
      <c r="U110" s="172">
        <v>15000000</v>
      </c>
      <c r="V110" s="141">
        <v>871875</v>
      </c>
      <c r="W110" s="128">
        <f t="shared" si="42"/>
        <v>-5900159.0115252156</v>
      </c>
      <c r="X110" s="128">
        <f t="shared" si="42"/>
        <v>-395839.56829041283</v>
      </c>
      <c r="Y110" s="130">
        <f t="shared" si="43"/>
        <v>-5900159.0115252156</v>
      </c>
      <c r="Z110" s="130">
        <f t="shared" si="43"/>
        <v>-395839.56829041283</v>
      </c>
      <c r="AA110" s="130"/>
      <c r="AB110" s="130"/>
      <c r="AC110" s="130">
        <f t="shared" si="49"/>
        <v>-395839.56829041283</v>
      </c>
      <c r="AD110" s="131">
        <v>-6810143.1103726942</v>
      </c>
      <c r="AE110" s="131">
        <f t="shared" si="27"/>
        <v>-7566825.6781918816</v>
      </c>
      <c r="AF110" s="131"/>
      <c r="AG110" s="132"/>
      <c r="AH110" s="132"/>
      <c r="AI110" s="132"/>
      <c r="AJ110" s="132"/>
      <c r="AK110" s="132"/>
      <c r="AL110" s="111">
        <f t="shared" si="44"/>
        <v>-395839.56829041283</v>
      </c>
      <c r="AM110" s="111"/>
      <c r="AN110" s="111"/>
      <c r="AO110" s="111"/>
      <c r="AP110" s="111">
        <f t="shared" si="39"/>
        <v>-395839.56829041283</v>
      </c>
      <c r="AQ110" s="111"/>
      <c r="AR110" s="111">
        <f t="shared" si="32"/>
        <v>-395839.56829041283</v>
      </c>
      <c r="AS110" s="111"/>
      <c r="AT110" s="111">
        <v>0</v>
      </c>
      <c r="AU110" s="111"/>
      <c r="AV110" s="111"/>
      <c r="AW110" s="111"/>
      <c r="AX110" s="111"/>
      <c r="AY110" s="111"/>
      <c r="AZ110" s="111"/>
      <c r="BA110" s="111">
        <f t="shared" si="33"/>
        <v>0</v>
      </c>
      <c r="BB110" s="111"/>
      <c r="BC110" s="111"/>
      <c r="BD110" s="111"/>
      <c r="BE110" s="111"/>
      <c r="BF110" s="111"/>
      <c r="BG110" s="111"/>
      <c r="BH110" s="111">
        <f t="shared" si="35"/>
        <v>0</v>
      </c>
      <c r="BI110" s="111"/>
      <c r="BJ110" s="133">
        <f t="shared" si="30"/>
        <v>-8512678.8879658673</v>
      </c>
      <c r="BK110" s="134"/>
      <c r="BL110" s="134"/>
      <c r="BM110" s="135"/>
      <c r="BN110" s="135"/>
      <c r="BO110" s="135"/>
      <c r="BP110" s="135"/>
      <c r="BQ110" s="114">
        <f t="shared" si="45"/>
        <v>-8512678.8879658673</v>
      </c>
      <c r="BR110" s="114">
        <f t="shared" si="40"/>
        <v>-9728775.8719609901</v>
      </c>
      <c r="BS110" s="136"/>
      <c r="BT110" s="136"/>
      <c r="BU110" s="136"/>
      <c r="BV110" s="115">
        <f t="shared" si="41"/>
        <v>-11350238.517287822</v>
      </c>
      <c r="BW110" s="115"/>
      <c r="BX110" s="116">
        <f t="shared" si="34"/>
        <v>-17592869.701796129</v>
      </c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>
        <v>0</v>
      </c>
      <c r="CL110" s="116"/>
      <c r="CM110" s="119"/>
    </row>
    <row r="111" spans="1:93" s="177" customFormat="1" ht="25.5" x14ac:dyDescent="0.2">
      <c r="A111" s="177">
        <f>A110+1</f>
        <v>57</v>
      </c>
      <c r="B111" s="99">
        <f t="shared" si="36"/>
        <v>103</v>
      </c>
      <c r="C111" s="179" t="s">
        <v>266</v>
      </c>
      <c r="D111" s="180" t="s">
        <v>267</v>
      </c>
      <c r="E111" s="179" t="s">
        <v>95</v>
      </c>
      <c r="F111" s="179" t="s">
        <v>96</v>
      </c>
      <c r="G111" s="173">
        <v>43556</v>
      </c>
      <c r="H111" s="173" t="s">
        <v>171</v>
      </c>
      <c r="I111" s="181">
        <v>10000000</v>
      </c>
      <c r="J111" s="182">
        <v>7.7499999999999999E-2</v>
      </c>
      <c r="K111" s="182">
        <v>7.4999999999999997E-2</v>
      </c>
      <c r="L111" s="183">
        <v>0.9</v>
      </c>
      <c r="M111" s="184">
        <v>8</v>
      </c>
      <c r="N111" s="184">
        <v>4</v>
      </c>
      <c r="O111" s="183">
        <v>12</v>
      </c>
      <c r="P111" s="184">
        <f t="shared" si="54"/>
        <v>465000</v>
      </c>
      <c r="Q111" s="184">
        <f t="shared" si="46"/>
        <v>6066560.6589831896</v>
      </c>
      <c r="R111" s="184">
        <f t="shared" si="47"/>
        <v>282095.07064271829</v>
      </c>
      <c r="S111" s="184">
        <f t="shared" si="48"/>
        <v>182904.92935728171</v>
      </c>
      <c r="T111" s="185">
        <v>0.606656065898319</v>
      </c>
      <c r="U111" s="184"/>
      <c r="V111" s="183"/>
      <c r="W111" s="184">
        <f t="shared" si="42"/>
        <v>6066560.6589831896</v>
      </c>
      <c r="X111" s="184">
        <f t="shared" si="42"/>
        <v>282095.07064271829</v>
      </c>
      <c r="Y111" s="186">
        <f t="shared" si="43"/>
        <v>6066560.6589831896</v>
      </c>
      <c r="Z111" s="186">
        <f t="shared" si="43"/>
        <v>282095.07064271829</v>
      </c>
      <c r="AA111" s="186"/>
      <c r="AB111" s="186"/>
      <c r="AC111" s="186">
        <f t="shared" si="49"/>
        <v>282095.07064271829</v>
      </c>
      <c r="AD111" s="187">
        <v>4853248.5271865511</v>
      </c>
      <c r="AE111" s="187">
        <f t="shared" si="27"/>
        <v>5392498.3635406131</v>
      </c>
      <c r="AF111" s="187"/>
      <c r="AG111" s="188"/>
      <c r="AH111" s="188"/>
      <c r="AI111" s="188"/>
      <c r="AJ111" s="188"/>
      <c r="AK111" s="188"/>
      <c r="AL111" s="188">
        <f t="shared" si="44"/>
        <v>282095.07064271829</v>
      </c>
      <c r="AM111" s="188"/>
      <c r="AN111" s="188"/>
      <c r="AO111" s="188"/>
      <c r="AP111" s="188">
        <f t="shared" si="39"/>
        <v>282095.07064271829</v>
      </c>
      <c r="AQ111" s="188"/>
      <c r="AR111" s="188">
        <f t="shared" si="32"/>
        <v>282095.07064271829</v>
      </c>
      <c r="AS111" s="188">
        <v>-282095.07</v>
      </c>
      <c r="AT111" s="188">
        <v>0</v>
      </c>
      <c r="AU111" s="188">
        <f>AR111-AT111</f>
        <v>282095.07064271829</v>
      </c>
      <c r="AV111" s="188"/>
      <c r="AW111" s="188"/>
      <c r="AX111" s="188"/>
      <c r="AY111" s="188"/>
      <c r="AZ111" s="188"/>
      <c r="BA111" s="188">
        <f t="shared" si="33"/>
        <v>0</v>
      </c>
      <c r="BB111" s="188"/>
      <c r="BC111" s="188"/>
      <c r="BD111" s="188"/>
      <c r="BE111" s="188"/>
      <c r="BF111" s="188"/>
      <c r="BG111" s="188"/>
      <c r="BH111" s="111">
        <f t="shared" si="35"/>
        <v>0</v>
      </c>
      <c r="BI111" s="111"/>
      <c r="BJ111" s="189">
        <f t="shared" si="30"/>
        <v>6066560.6589831896</v>
      </c>
      <c r="BK111" s="189"/>
      <c r="BL111" s="189"/>
      <c r="BM111" s="190"/>
      <c r="BN111" s="190"/>
      <c r="BO111" s="190"/>
      <c r="BP111" s="190"/>
      <c r="BQ111" s="191">
        <f t="shared" si="45"/>
        <v>6066560.6589831896</v>
      </c>
      <c r="BR111" s="191">
        <f t="shared" si="40"/>
        <v>6933212.1816950738</v>
      </c>
      <c r="BS111" s="192"/>
      <c r="BT111" s="192"/>
      <c r="BU111" s="192"/>
      <c r="BV111" s="193">
        <f t="shared" si="41"/>
        <v>8088747.5453109201</v>
      </c>
      <c r="BW111" s="193"/>
      <c r="BX111" s="194">
        <f t="shared" si="34"/>
        <v>12537558.695231924</v>
      </c>
      <c r="BY111" s="194">
        <v>0</v>
      </c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16">
        <v>0</v>
      </c>
      <c r="CL111" s="194"/>
      <c r="CM111" s="195" t="s">
        <v>268</v>
      </c>
      <c r="CN111" s="177" t="s">
        <v>95</v>
      </c>
    </row>
    <row r="112" spans="1:93" s="120" customFormat="1" ht="25.5" x14ac:dyDescent="0.2">
      <c r="A112" s="118">
        <f>A111+1</f>
        <v>58</v>
      </c>
      <c r="B112" s="99">
        <f t="shared" si="36"/>
        <v>104</v>
      </c>
      <c r="C112" s="122" t="s">
        <v>269</v>
      </c>
      <c r="D112" s="123" t="s">
        <v>270</v>
      </c>
      <c r="E112" s="122" t="s">
        <v>95</v>
      </c>
      <c r="F112" s="100" t="s">
        <v>134</v>
      </c>
      <c r="G112" s="124">
        <v>43525</v>
      </c>
      <c r="H112" s="124">
        <v>43525</v>
      </c>
      <c r="I112" s="125">
        <v>25000000</v>
      </c>
      <c r="J112" s="126">
        <v>7.7499999999999999E-2</v>
      </c>
      <c r="K112" s="105">
        <v>7.4999999999999997E-2</v>
      </c>
      <c r="L112" s="127">
        <v>0.9</v>
      </c>
      <c r="M112" s="128">
        <v>9</v>
      </c>
      <c r="N112" s="128"/>
      <c r="O112" s="127">
        <v>12</v>
      </c>
      <c r="P112" s="128">
        <f t="shared" si="54"/>
        <v>1307812.5</v>
      </c>
      <c r="Q112" s="128">
        <f t="shared" si="46"/>
        <v>15166401.647457974</v>
      </c>
      <c r="R112" s="128">
        <f t="shared" si="47"/>
        <v>793392.38618264522</v>
      </c>
      <c r="S112" s="128">
        <f t="shared" si="48"/>
        <v>514420.11381735478</v>
      </c>
      <c r="T112" s="129">
        <v>0.606656065898319</v>
      </c>
      <c r="U112" s="172">
        <v>25000000</v>
      </c>
      <c r="V112" s="141">
        <v>1453125</v>
      </c>
      <c r="W112" s="128">
        <f t="shared" si="42"/>
        <v>-9833598.352542026</v>
      </c>
      <c r="X112" s="128">
        <f t="shared" si="42"/>
        <v>-659732.61381735478</v>
      </c>
      <c r="Y112" s="130">
        <f t="shared" si="43"/>
        <v>-9833598.352542026</v>
      </c>
      <c r="Z112" s="130">
        <f t="shared" si="43"/>
        <v>-659732.61381735478</v>
      </c>
      <c r="AA112" s="130"/>
      <c r="AB112" s="130"/>
      <c r="AC112" s="130">
        <f t="shared" si="49"/>
        <v>-659732.61381735478</v>
      </c>
      <c r="AD112" s="131">
        <v>-11350238.517287824</v>
      </c>
      <c r="AE112" s="131">
        <f t="shared" si="27"/>
        <v>-12611376.130319804</v>
      </c>
      <c r="AF112" s="131"/>
      <c r="AG112" s="132"/>
      <c r="AH112" s="132"/>
      <c r="AI112" s="132"/>
      <c r="AJ112" s="132"/>
      <c r="AK112" s="132"/>
      <c r="AL112" s="111">
        <f t="shared" si="44"/>
        <v>-659732.61381735478</v>
      </c>
      <c r="AM112" s="111"/>
      <c r="AN112" s="111"/>
      <c r="AO112" s="111"/>
      <c r="AP112" s="111">
        <f t="shared" si="39"/>
        <v>-659732.61381735478</v>
      </c>
      <c r="AQ112" s="111"/>
      <c r="AR112" s="111">
        <f t="shared" si="32"/>
        <v>-659732.61381735478</v>
      </c>
      <c r="AS112" s="111"/>
      <c r="AT112" s="111">
        <v>0</v>
      </c>
      <c r="AU112" s="111"/>
      <c r="AV112" s="111"/>
      <c r="AW112" s="111"/>
      <c r="AX112" s="111"/>
      <c r="AY112" s="111"/>
      <c r="AZ112" s="111"/>
      <c r="BA112" s="111">
        <f t="shared" si="33"/>
        <v>0</v>
      </c>
      <c r="BB112" s="111"/>
      <c r="BC112" s="111"/>
      <c r="BD112" s="111"/>
      <c r="BE112" s="111"/>
      <c r="BF112" s="111"/>
      <c r="BG112" s="111"/>
      <c r="BH112" s="111">
        <f t="shared" si="35"/>
        <v>0</v>
      </c>
      <c r="BI112" s="111"/>
      <c r="BJ112" s="133">
        <f t="shared" si="30"/>
        <v>-14187798.146609779</v>
      </c>
      <c r="BK112" s="134"/>
      <c r="BL112" s="134"/>
      <c r="BM112" s="135"/>
      <c r="BN112" s="135"/>
      <c r="BO112" s="135"/>
      <c r="BP112" s="135"/>
      <c r="BQ112" s="114">
        <f t="shared" si="45"/>
        <v>-14187798.146609779</v>
      </c>
      <c r="BR112" s="114">
        <f t="shared" si="40"/>
        <v>-16214626.453268319</v>
      </c>
      <c r="BS112" s="136"/>
      <c r="BT112" s="136"/>
      <c r="BU112" s="136"/>
      <c r="BV112" s="115">
        <f t="shared" si="41"/>
        <v>-18917064.195479706</v>
      </c>
      <c r="BW112" s="115"/>
      <c r="BX112" s="116">
        <f t="shared" si="34"/>
        <v>-29321449.502993546</v>
      </c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>
        <v>0</v>
      </c>
      <c r="CL112" s="116"/>
      <c r="CM112" s="119"/>
    </row>
    <row r="113" spans="1:92" s="174" customFormat="1" ht="25.5" x14ac:dyDescent="0.2">
      <c r="B113" s="145">
        <f t="shared" si="36"/>
        <v>105</v>
      </c>
      <c r="C113" s="204" t="s">
        <v>271</v>
      </c>
      <c r="D113" s="224" t="s">
        <v>270</v>
      </c>
      <c r="E113" s="204" t="s">
        <v>95</v>
      </c>
      <c r="F113" s="148" t="s">
        <v>134</v>
      </c>
      <c r="G113" s="205"/>
      <c r="H113" s="205" t="s">
        <v>148</v>
      </c>
      <c r="I113" s="206">
        <v>0</v>
      </c>
      <c r="J113" s="207"/>
      <c r="K113" s="151">
        <v>7.2499999999999995E-2</v>
      </c>
      <c r="L113" s="152">
        <v>0.9</v>
      </c>
      <c r="M113" s="153">
        <v>9</v>
      </c>
      <c r="N113" s="153">
        <v>2.5</v>
      </c>
      <c r="O113" s="152">
        <v>12</v>
      </c>
      <c r="P113" s="208"/>
      <c r="Q113" s="208">
        <f t="shared" si="46"/>
        <v>0</v>
      </c>
      <c r="R113" s="208"/>
      <c r="S113" s="208"/>
      <c r="T113" s="209"/>
      <c r="U113" s="222"/>
      <c r="V113" s="223"/>
      <c r="W113" s="208"/>
      <c r="X113" s="208"/>
      <c r="Y113" s="210"/>
      <c r="Z113" s="210"/>
      <c r="AA113" s="210"/>
      <c r="AB113" s="210"/>
      <c r="AC113" s="210"/>
      <c r="AD113" s="211"/>
      <c r="AE113" s="211"/>
      <c r="AF113" s="211"/>
      <c r="AG113" s="198"/>
      <c r="AH113" s="198"/>
      <c r="AI113" s="198"/>
      <c r="AJ113" s="198"/>
      <c r="AK113" s="198"/>
      <c r="AL113" s="83"/>
      <c r="AM113" s="83"/>
      <c r="AN113" s="83"/>
      <c r="AO113" s="83"/>
      <c r="AP113" s="83"/>
      <c r="AQ113" s="83"/>
      <c r="AR113" s="83">
        <f t="shared" si="32"/>
        <v>0</v>
      </c>
      <c r="AS113" s="83"/>
      <c r="AT113" s="83">
        <v>0</v>
      </c>
      <c r="AU113" s="83">
        <f>AR113-AT113</f>
        <v>0</v>
      </c>
      <c r="AV113" s="83"/>
      <c r="AW113" s="83"/>
      <c r="AX113" s="83"/>
      <c r="AY113" s="83"/>
      <c r="AZ113" s="83"/>
      <c r="BA113" s="83">
        <f>CL113*7.25%*0.9*3.5/12</f>
        <v>95156.25</v>
      </c>
      <c r="BB113" s="83"/>
      <c r="BC113" s="83"/>
      <c r="BD113" s="83"/>
      <c r="BE113" s="83"/>
      <c r="BF113" s="83"/>
      <c r="BG113" s="83"/>
      <c r="BH113" s="83">
        <f t="shared" si="35"/>
        <v>95156.25</v>
      </c>
      <c r="BI113" s="83">
        <f>CK113*K113*L113*N113/O113</f>
        <v>81562.499999999985</v>
      </c>
      <c r="BJ113" s="212"/>
      <c r="BK113" s="213"/>
      <c r="BL113" s="213"/>
      <c r="BM113" s="214"/>
      <c r="BN113" s="214"/>
      <c r="BO113" s="214"/>
      <c r="BP113" s="214"/>
      <c r="BQ113" s="160"/>
      <c r="BR113" s="160"/>
      <c r="BS113" s="215"/>
      <c r="BT113" s="215"/>
      <c r="BU113" s="215"/>
      <c r="BV113" s="162"/>
      <c r="BW113" s="162"/>
      <c r="BX113" s="95">
        <f t="shared" si="34"/>
        <v>0</v>
      </c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>
        <v>6000000</v>
      </c>
      <c r="CL113" s="95">
        <v>5000000</v>
      </c>
      <c r="CM113" s="216" t="s">
        <v>105</v>
      </c>
      <c r="CN113" s="174" t="s">
        <v>272</v>
      </c>
    </row>
    <row r="114" spans="1:92" s="120" customFormat="1" ht="25.5" x14ac:dyDescent="0.2">
      <c r="A114" s="120">
        <f>A112+1</f>
        <v>59</v>
      </c>
      <c r="B114" s="99">
        <f t="shared" si="36"/>
        <v>106</v>
      </c>
      <c r="C114" s="122" t="s">
        <v>273</v>
      </c>
      <c r="D114" s="123" t="s">
        <v>274</v>
      </c>
      <c r="E114" s="122" t="s">
        <v>95</v>
      </c>
      <c r="F114" s="100" t="s">
        <v>96</v>
      </c>
      <c r="G114" s="124">
        <v>43556</v>
      </c>
      <c r="H114" s="124">
        <v>43556</v>
      </c>
      <c r="I114" s="125">
        <v>2000000</v>
      </c>
      <c r="J114" s="126">
        <v>7.7499999999999999E-2</v>
      </c>
      <c r="K114" s="105">
        <v>7.4999999999999997E-2</v>
      </c>
      <c r="L114" s="127">
        <v>0.9</v>
      </c>
      <c r="M114" s="128">
        <v>8</v>
      </c>
      <c r="N114" s="128"/>
      <c r="O114" s="127">
        <v>12</v>
      </c>
      <c r="P114" s="128">
        <f t="shared" si="54"/>
        <v>93000</v>
      </c>
      <c r="Q114" s="128">
        <f t="shared" si="46"/>
        <v>1213312.131796638</v>
      </c>
      <c r="R114" s="128">
        <f t="shared" si="47"/>
        <v>56419.014128543669</v>
      </c>
      <c r="S114" s="128">
        <f t="shared" si="48"/>
        <v>36580.985871456331</v>
      </c>
      <c r="T114" s="129">
        <v>0.606656065898319</v>
      </c>
      <c r="U114" s="172">
        <v>2000000</v>
      </c>
      <c r="V114" s="141">
        <v>116250</v>
      </c>
      <c r="W114" s="128">
        <f t="shared" si="42"/>
        <v>-786687.86820336198</v>
      </c>
      <c r="X114" s="128">
        <f t="shared" si="42"/>
        <v>-59830.985871456331</v>
      </c>
      <c r="Y114" s="130">
        <f t="shared" si="43"/>
        <v>-786687.86820336198</v>
      </c>
      <c r="Z114" s="130">
        <f t="shared" si="43"/>
        <v>-59830.985871456331</v>
      </c>
      <c r="AA114" s="130"/>
      <c r="AB114" s="130"/>
      <c r="AC114" s="130">
        <f t="shared" si="49"/>
        <v>-59830.985871456331</v>
      </c>
      <c r="AD114" s="131">
        <v>-1029350.2945626895</v>
      </c>
      <c r="AE114" s="131">
        <f t="shared" si="27"/>
        <v>-1143722.5495140993</v>
      </c>
      <c r="AF114" s="131"/>
      <c r="AG114" s="132"/>
      <c r="AH114" s="132"/>
      <c r="AI114" s="132"/>
      <c r="AJ114" s="132"/>
      <c r="AK114" s="132"/>
      <c r="AL114" s="111">
        <f t="shared" si="44"/>
        <v>-59830.985871456331</v>
      </c>
      <c r="AM114" s="111"/>
      <c r="AN114" s="111"/>
      <c r="AO114" s="111"/>
      <c r="AP114" s="111">
        <f t="shared" si="39"/>
        <v>-59830.985871456331</v>
      </c>
      <c r="AQ114" s="111"/>
      <c r="AR114" s="111">
        <f t="shared" si="32"/>
        <v>-59830.985871456331</v>
      </c>
      <c r="AS114" s="111"/>
      <c r="AT114" s="111">
        <v>0</v>
      </c>
      <c r="AU114" s="111"/>
      <c r="AV114" s="111"/>
      <c r="AW114" s="111"/>
      <c r="AX114" s="111"/>
      <c r="AY114" s="111"/>
      <c r="AZ114" s="111"/>
      <c r="BA114" s="111">
        <f t="shared" si="33"/>
        <v>0</v>
      </c>
      <c r="BB114" s="111"/>
      <c r="BC114" s="111"/>
      <c r="BD114" s="111"/>
      <c r="BE114" s="111"/>
      <c r="BF114" s="111"/>
      <c r="BG114" s="111"/>
      <c r="BH114" s="111">
        <f t="shared" si="35"/>
        <v>0</v>
      </c>
      <c r="BI114" s="111"/>
      <c r="BJ114" s="133">
        <f t="shared" si="30"/>
        <v>-1286687.8682033618</v>
      </c>
      <c r="BK114" s="134"/>
      <c r="BL114" s="134"/>
      <c r="BM114" s="135"/>
      <c r="BN114" s="135"/>
      <c r="BO114" s="135"/>
      <c r="BP114" s="135"/>
      <c r="BQ114" s="114">
        <f t="shared" si="45"/>
        <v>-1286687.8682033618</v>
      </c>
      <c r="BR114" s="114">
        <f t="shared" si="40"/>
        <v>-1470500.4208038421</v>
      </c>
      <c r="BS114" s="136"/>
      <c r="BT114" s="136"/>
      <c r="BU114" s="136"/>
      <c r="BV114" s="115">
        <f t="shared" si="41"/>
        <v>-1715583.824271149</v>
      </c>
      <c r="BW114" s="115"/>
      <c r="BX114" s="116">
        <f t="shared" si="34"/>
        <v>-2659154.9276202815</v>
      </c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>
        <v>0</v>
      </c>
      <c r="CL114" s="116"/>
      <c r="CM114" s="119"/>
    </row>
    <row r="115" spans="1:92" s="118" customFormat="1" ht="26.25" x14ac:dyDescent="0.25">
      <c r="A115" s="118">
        <f>A114+1</f>
        <v>60</v>
      </c>
      <c r="B115" s="99">
        <f t="shared" si="36"/>
        <v>107</v>
      </c>
      <c r="C115" s="100" t="s">
        <v>275</v>
      </c>
      <c r="D115" s="101" t="s">
        <v>276</v>
      </c>
      <c r="E115" s="100" t="s">
        <v>95</v>
      </c>
      <c r="F115" s="100" t="s">
        <v>134</v>
      </c>
      <c r="G115" s="103">
        <v>43525</v>
      </c>
      <c r="H115" s="275" t="s">
        <v>142</v>
      </c>
      <c r="I115" s="104">
        <v>10000000</v>
      </c>
      <c r="J115" s="105">
        <v>7.7499999999999999E-2</v>
      </c>
      <c r="K115" s="105">
        <v>7.4999999999999997E-2</v>
      </c>
      <c r="L115" s="106">
        <v>0.9</v>
      </c>
      <c r="M115" s="107">
        <v>9</v>
      </c>
      <c r="N115" s="107">
        <v>4</v>
      </c>
      <c r="O115" s="106">
        <v>12</v>
      </c>
      <c r="P115" s="107">
        <f t="shared" si="54"/>
        <v>523125</v>
      </c>
      <c r="Q115" s="107">
        <f t="shared" si="46"/>
        <v>6066560.6589831896</v>
      </c>
      <c r="R115" s="107">
        <f t="shared" si="47"/>
        <v>317356.95447305811</v>
      </c>
      <c r="S115" s="107">
        <f t="shared" si="48"/>
        <v>205768.04552694189</v>
      </c>
      <c r="T115" s="108">
        <v>0.606656065898319</v>
      </c>
      <c r="U115" s="107"/>
      <c r="V115" s="106"/>
      <c r="W115" s="107">
        <f t="shared" si="42"/>
        <v>6066560.6589831896</v>
      </c>
      <c r="X115" s="107">
        <f t="shared" si="42"/>
        <v>317356.95447305811</v>
      </c>
      <c r="Y115" s="109">
        <f t="shared" si="43"/>
        <v>6066560.6589831896</v>
      </c>
      <c r="Z115" s="109">
        <f t="shared" si="43"/>
        <v>317356.95447305811</v>
      </c>
      <c r="AA115" s="109"/>
      <c r="AB115" s="109"/>
      <c r="AC115" s="109">
        <f t="shared" si="49"/>
        <v>317356.95447305811</v>
      </c>
      <c r="AD115" s="110">
        <v>5459904.5930848699</v>
      </c>
      <c r="AE115" s="110">
        <f t="shared" si="27"/>
        <v>6066560.6589831896</v>
      </c>
      <c r="AF115" s="110"/>
      <c r="AG115" s="111"/>
      <c r="AH115" s="111"/>
      <c r="AI115" s="111"/>
      <c r="AJ115" s="111"/>
      <c r="AK115" s="111"/>
      <c r="AL115" s="111">
        <f t="shared" si="44"/>
        <v>317356.95447305811</v>
      </c>
      <c r="AM115" s="111"/>
      <c r="AN115" s="111"/>
      <c r="AO115" s="111"/>
      <c r="AP115" s="111">
        <f t="shared" si="39"/>
        <v>317356.95447305811</v>
      </c>
      <c r="AQ115" s="111"/>
      <c r="AR115" s="111">
        <f t="shared" si="32"/>
        <v>317356.95447305811</v>
      </c>
      <c r="AS115" s="111">
        <v>-317356.95</v>
      </c>
      <c r="AT115" s="111">
        <v>0</v>
      </c>
      <c r="AU115" s="111">
        <f>AR115-AT115</f>
        <v>317356.95447305811</v>
      </c>
      <c r="AV115" s="111"/>
      <c r="AW115" s="111"/>
      <c r="AX115" s="111"/>
      <c r="AY115" s="111"/>
      <c r="AZ115" s="111"/>
      <c r="BA115" s="111">
        <f t="shared" si="33"/>
        <v>0</v>
      </c>
      <c r="BB115" s="111"/>
      <c r="BC115" s="111"/>
      <c r="BD115" s="111"/>
      <c r="BE115" s="111"/>
      <c r="BF115" s="111"/>
      <c r="BG115" s="111"/>
      <c r="BH115" s="111">
        <f t="shared" si="35"/>
        <v>0</v>
      </c>
      <c r="BI115" s="111"/>
      <c r="BJ115" s="112">
        <f t="shared" si="30"/>
        <v>6824880.7413560878</v>
      </c>
      <c r="BK115" s="112"/>
      <c r="BL115" s="112"/>
      <c r="BM115" s="113"/>
      <c r="BN115" s="113"/>
      <c r="BO115" s="113"/>
      <c r="BP115" s="113"/>
      <c r="BQ115" s="114">
        <f t="shared" si="45"/>
        <v>6824880.7413560878</v>
      </c>
      <c r="BR115" s="114">
        <f t="shared" si="40"/>
        <v>7799863.7044069581</v>
      </c>
      <c r="BS115" s="98"/>
      <c r="BT115" s="98"/>
      <c r="BU115" s="98"/>
      <c r="BV115" s="115">
        <f t="shared" si="41"/>
        <v>9099840.9884747844</v>
      </c>
      <c r="BW115" s="115"/>
      <c r="BX115" s="116">
        <f t="shared" si="34"/>
        <v>14104753.532135919</v>
      </c>
      <c r="BY115" s="116">
        <v>0</v>
      </c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>
        <v>0</v>
      </c>
      <c r="CL115" s="116"/>
      <c r="CM115" s="217" t="s">
        <v>277</v>
      </c>
      <c r="CN115" s="118" t="s">
        <v>95</v>
      </c>
    </row>
    <row r="116" spans="1:92" s="120" customFormat="1" ht="25.5" x14ac:dyDescent="0.2">
      <c r="A116" s="118">
        <f>A115+1</f>
        <v>61</v>
      </c>
      <c r="B116" s="99">
        <f t="shared" si="36"/>
        <v>108</v>
      </c>
      <c r="C116" s="122" t="s">
        <v>278</v>
      </c>
      <c r="D116" s="123" t="s">
        <v>279</v>
      </c>
      <c r="E116" s="122" t="s">
        <v>95</v>
      </c>
      <c r="F116" s="100" t="s">
        <v>96</v>
      </c>
      <c r="G116" s="124">
        <v>43525</v>
      </c>
      <c r="H116" s="124">
        <v>43525</v>
      </c>
      <c r="I116" s="125">
        <v>4000000</v>
      </c>
      <c r="J116" s="126">
        <v>7.7499999999999999E-2</v>
      </c>
      <c r="K116" s="105">
        <v>7.4999999999999997E-2</v>
      </c>
      <c r="L116" s="127">
        <v>0.9</v>
      </c>
      <c r="M116" s="128">
        <v>9</v>
      </c>
      <c r="N116" s="128"/>
      <c r="O116" s="127">
        <v>12</v>
      </c>
      <c r="P116" s="128">
        <f t="shared" si="54"/>
        <v>209250</v>
      </c>
      <c r="Q116" s="128">
        <f t="shared" si="46"/>
        <v>2426624.263593276</v>
      </c>
      <c r="R116" s="128">
        <f t="shared" si="47"/>
        <v>126942.78178922326</v>
      </c>
      <c r="S116" s="128">
        <f t="shared" si="48"/>
        <v>82307.218210776744</v>
      </c>
      <c r="T116" s="129">
        <v>0.606656065898319</v>
      </c>
      <c r="U116" s="128"/>
      <c r="V116" s="127"/>
      <c r="W116" s="128">
        <f t="shared" si="42"/>
        <v>2426624.263593276</v>
      </c>
      <c r="X116" s="128">
        <f t="shared" si="42"/>
        <v>126942.78178922326</v>
      </c>
      <c r="Y116" s="130">
        <f t="shared" si="43"/>
        <v>2426624.263593276</v>
      </c>
      <c r="Z116" s="130">
        <f t="shared" si="43"/>
        <v>126942.78178922326</v>
      </c>
      <c r="AA116" s="130">
        <v>126886.88</v>
      </c>
      <c r="AB116" s="130"/>
      <c r="AC116" s="130">
        <f t="shared" si="49"/>
        <v>55.901789223251399</v>
      </c>
      <c r="AD116" s="131">
        <v>961.83723394852132</v>
      </c>
      <c r="AE116" s="131">
        <f t="shared" si="27"/>
        <v>1068.6124582700388</v>
      </c>
      <c r="AF116" s="131"/>
      <c r="AG116" s="132"/>
      <c r="AH116" s="132"/>
      <c r="AI116" s="132"/>
      <c r="AJ116" s="132"/>
      <c r="AK116" s="132"/>
      <c r="AL116" s="111">
        <f t="shared" si="44"/>
        <v>55.901789223251399</v>
      </c>
      <c r="AM116" s="111"/>
      <c r="AN116" s="111"/>
      <c r="AO116" s="111"/>
      <c r="AP116" s="111">
        <f t="shared" si="39"/>
        <v>55.901789223251399</v>
      </c>
      <c r="AQ116" s="111"/>
      <c r="AR116" s="111">
        <f t="shared" si="32"/>
        <v>55.901789223251399</v>
      </c>
      <c r="AS116" s="111"/>
      <c r="AT116" s="111">
        <v>0</v>
      </c>
      <c r="AU116" s="111">
        <f>AR116-AT116</f>
        <v>55.901789223251399</v>
      </c>
      <c r="AV116" s="111"/>
      <c r="AW116" s="111"/>
      <c r="AX116" s="111"/>
      <c r="AY116" s="111"/>
      <c r="AZ116" s="111"/>
      <c r="BA116" s="111">
        <f t="shared" si="33"/>
        <v>0</v>
      </c>
      <c r="BB116" s="111"/>
      <c r="BC116" s="111"/>
      <c r="BD116" s="111"/>
      <c r="BE116" s="111"/>
      <c r="BF116" s="111"/>
      <c r="BG116" s="111"/>
      <c r="BH116" s="111">
        <f t="shared" si="35"/>
        <v>0</v>
      </c>
      <c r="BI116" s="111"/>
      <c r="BJ116" s="112">
        <f t="shared" si="30"/>
        <v>1202.1890155537935</v>
      </c>
      <c r="BK116" s="134"/>
      <c r="BL116" s="134"/>
      <c r="BM116" s="135"/>
      <c r="BN116" s="135"/>
      <c r="BO116" s="135"/>
      <c r="BP116" s="135"/>
      <c r="BQ116" s="114">
        <f t="shared" si="45"/>
        <v>1202.1890155537935</v>
      </c>
      <c r="BR116" s="114">
        <f t="shared" si="40"/>
        <v>1373.9303034900499</v>
      </c>
      <c r="BS116" s="136"/>
      <c r="BT116" s="136"/>
      <c r="BU116" s="136"/>
      <c r="BV116" s="115">
        <f t="shared" si="41"/>
        <v>1602.9186874050583</v>
      </c>
      <c r="BW116" s="115"/>
      <c r="BX116" s="116">
        <f t="shared" si="34"/>
        <v>2484.5239654778402</v>
      </c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>
        <v>0</v>
      </c>
      <c r="CL116" s="116"/>
      <c r="CM116" s="119"/>
    </row>
    <row r="117" spans="1:92" s="177" customFormat="1" x14ac:dyDescent="0.2">
      <c r="A117" s="118">
        <f>A116+1</f>
        <v>62</v>
      </c>
      <c r="B117" s="99">
        <f t="shared" si="36"/>
        <v>109</v>
      </c>
      <c r="C117" s="179" t="s">
        <v>280</v>
      </c>
      <c r="D117" s="180" t="s">
        <v>281</v>
      </c>
      <c r="E117" s="179" t="s">
        <v>151</v>
      </c>
      <c r="F117" s="179" t="s">
        <v>96</v>
      </c>
      <c r="G117" s="173">
        <v>43497</v>
      </c>
      <c r="H117" s="173">
        <v>43497</v>
      </c>
      <c r="I117" s="181">
        <v>1000000</v>
      </c>
      <c r="J117" s="182">
        <v>7.7499999999999999E-2</v>
      </c>
      <c r="K117" s="105">
        <v>7.4999999999999997E-2</v>
      </c>
      <c r="L117" s="183">
        <v>0.9</v>
      </c>
      <c r="M117" s="184">
        <v>10</v>
      </c>
      <c r="N117" s="184"/>
      <c r="O117" s="183">
        <v>12</v>
      </c>
      <c r="P117" s="184">
        <f t="shared" si="54"/>
        <v>58125</v>
      </c>
      <c r="Q117" s="184">
        <f t="shared" si="46"/>
        <v>606656.06589831901</v>
      </c>
      <c r="R117" s="184">
        <f t="shared" si="47"/>
        <v>35261.883830339793</v>
      </c>
      <c r="S117" s="184">
        <f t="shared" si="48"/>
        <v>22863.116169660207</v>
      </c>
      <c r="T117" s="185">
        <v>0.606656065898319</v>
      </c>
      <c r="U117" s="184"/>
      <c r="V117" s="183"/>
      <c r="W117" s="184">
        <f t="shared" si="42"/>
        <v>606656.06589831901</v>
      </c>
      <c r="X117" s="184">
        <f t="shared" si="42"/>
        <v>35261.883830339793</v>
      </c>
      <c r="Y117" s="186">
        <f t="shared" si="43"/>
        <v>606656.06589831901</v>
      </c>
      <c r="Z117" s="186">
        <f t="shared" si="43"/>
        <v>35261.883830339793</v>
      </c>
      <c r="AA117" s="186"/>
      <c r="AB117" s="186"/>
      <c r="AC117" s="186">
        <f t="shared" si="49"/>
        <v>35261.883830339793</v>
      </c>
      <c r="AD117" s="187">
        <v>606656.06589831901</v>
      </c>
      <c r="AE117" s="187">
        <f t="shared" si="27"/>
        <v>674062.29544257664</v>
      </c>
      <c r="AF117" s="187"/>
      <c r="AG117" s="188">
        <v>-35261.879999999997</v>
      </c>
      <c r="AH117" s="188"/>
      <c r="AI117" s="188"/>
      <c r="AJ117" s="188"/>
      <c r="AK117" s="188"/>
      <c r="AL117" s="188">
        <f t="shared" si="44"/>
        <v>3.8303397959680296E-3</v>
      </c>
      <c r="AM117" s="188"/>
      <c r="AN117" s="188"/>
      <c r="AO117" s="188"/>
      <c r="AP117" s="188">
        <f t="shared" si="39"/>
        <v>3.8303397959680296E-3</v>
      </c>
      <c r="AQ117" s="188"/>
      <c r="AR117" s="111">
        <f t="shared" si="32"/>
        <v>3.8303397959680296E-3</v>
      </c>
      <c r="AS117" s="111"/>
      <c r="AT117" s="111">
        <v>0</v>
      </c>
      <c r="AU117" s="111">
        <f>AR117-AT117</f>
        <v>3.8303397959680296E-3</v>
      </c>
      <c r="AV117" s="111"/>
      <c r="AW117" s="111"/>
      <c r="AX117" s="111"/>
      <c r="AY117" s="111"/>
      <c r="AZ117" s="111"/>
      <c r="BA117" s="111">
        <f t="shared" si="33"/>
        <v>0</v>
      </c>
      <c r="BB117" s="111"/>
      <c r="BC117" s="111"/>
      <c r="BD117" s="111"/>
      <c r="BE117" s="111"/>
      <c r="BF117" s="111"/>
      <c r="BG117" s="111"/>
      <c r="BH117" s="111">
        <f t="shared" si="35"/>
        <v>0</v>
      </c>
      <c r="BI117" s="111"/>
      <c r="BJ117" s="189">
        <f t="shared" si="30"/>
        <v>758320.0823728987</v>
      </c>
      <c r="BK117" s="189"/>
      <c r="BL117" s="189">
        <v>-758320.08</v>
      </c>
      <c r="BM117" s="190"/>
      <c r="BN117" s="190"/>
      <c r="BO117" s="190"/>
      <c r="BP117" s="190"/>
      <c r="BQ117" s="191">
        <f t="shared" si="45"/>
        <v>2.3728987434878945E-3</v>
      </c>
      <c r="BR117" s="114">
        <f t="shared" si="40"/>
        <v>9.4140455814882451E-2</v>
      </c>
      <c r="BS117" s="192"/>
      <c r="BT117" s="192"/>
      <c r="BU117" s="192"/>
      <c r="BV117" s="115">
        <f t="shared" si="41"/>
        <v>0.10983053178402953</v>
      </c>
      <c r="BW117" s="115"/>
      <c r="BX117" s="116">
        <f t="shared" si="34"/>
        <v>0.17023732426524577</v>
      </c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>
        <v>0</v>
      </c>
      <c r="CL117" s="116"/>
      <c r="CM117" s="195"/>
    </row>
    <row r="118" spans="1:92" s="120" customFormat="1" ht="25.5" x14ac:dyDescent="0.2">
      <c r="A118" s="118">
        <f>A117+1</f>
        <v>63</v>
      </c>
      <c r="B118" s="99">
        <f t="shared" si="36"/>
        <v>110</v>
      </c>
      <c r="C118" s="122" t="s">
        <v>282</v>
      </c>
      <c r="D118" s="123" t="s">
        <v>283</v>
      </c>
      <c r="E118" s="122" t="s">
        <v>95</v>
      </c>
      <c r="F118" s="100" t="s">
        <v>96</v>
      </c>
      <c r="G118" s="124">
        <v>43525</v>
      </c>
      <c r="H118" s="124">
        <v>43525</v>
      </c>
      <c r="I118" s="125">
        <v>20000000</v>
      </c>
      <c r="J118" s="126">
        <v>7.7499999999999999E-2</v>
      </c>
      <c r="K118" s="105">
        <v>7.4999999999999997E-2</v>
      </c>
      <c r="L118" s="127">
        <v>0.9</v>
      </c>
      <c r="M118" s="128">
        <v>9</v>
      </c>
      <c r="N118" s="128"/>
      <c r="O118" s="127">
        <v>12</v>
      </c>
      <c r="P118" s="128">
        <f t="shared" si="54"/>
        <v>1046250</v>
      </c>
      <c r="Q118" s="128">
        <f t="shared" si="46"/>
        <v>12133121.317966379</v>
      </c>
      <c r="R118" s="128">
        <f t="shared" si="47"/>
        <v>634713.90894611622</v>
      </c>
      <c r="S118" s="128">
        <f t="shared" si="48"/>
        <v>411536.09105388378</v>
      </c>
      <c r="T118" s="129">
        <v>0.606656065898319</v>
      </c>
      <c r="U118" s="128"/>
      <c r="V118" s="127"/>
      <c r="W118" s="128">
        <f t="shared" si="42"/>
        <v>12133121.317966379</v>
      </c>
      <c r="X118" s="128">
        <f t="shared" si="42"/>
        <v>634713.90894611622</v>
      </c>
      <c r="Y118" s="130">
        <f t="shared" si="43"/>
        <v>12133121.317966379</v>
      </c>
      <c r="Z118" s="130">
        <f t="shared" si="43"/>
        <v>634713.90894611622</v>
      </c>
      <c r="AA118" s="130"/>
      <c r="AB118" s="130">
        <f>706218.75-AB119</f>
        <v>634713.91</v>
      </c>
      <c r="AC118" s="130">
        <f t="shared" si="49"/>
        <v>-1.0538838105276227E-3</v>
      </c>
      <c r="AD118" s="131">
        <v>-1063550.6490844637</v>
      </c>
      <c r="AE118" s="131">
        <f t="shared" si="27"/>
        <v>-2.0145927082965309E-2</v>
      </c>
      <c r="AF118" s="131"/>
      <c r="AG118" s="132"/>
      <c r="AH118" s="132"/>
      <c r="AI118" s="132"/>
      <c r="AJ118" s="132"/>
      <c r="AK118" s="132"/>
      <c r="AL118" s="111">
        <f t="shared" si="44"/>
        <v>-1.0538838105276227E-3</v>
      </c>
      <c r="AM118" s="111"/>
      <c r="AN118" s="111"/>
      <c r="AO118" s="111"/>
      <c r="AP118" s="111">
        <f t="shared" si="39"/>
        <v>-1.0538838105276227E-3</v>
      </c>
      <c r="AQ118" s="111"/>
      <c r="AR118" s="111">
        <f t="shared" si="32"/>
        <v>-1.0538838105276227E-3</v>
      </c>
      <c r="AS118" s="111"/>
      <c r="AT118" s="111">
        <v>0</v>
      </c>
      <c r="AU118" s="111">
        <f>AR118-AT118</f>
        <v>-1.0538838105276227E-3</v>
      </c>
      <c r="AV118" s="111"/>
      <c r="AW118" s="111"/>
      <c r="AX118" s="111"/>
      <c r="AY118" s="111"/>
      <c r="AZ118" s="111"/>
      <c r="BA118" s="111">
        <f t="shared" si="33"/>
        <v>0</v>
      </c>
      <c r="BB118" s="111"/>
      <c r="BC118" s="111"/>
      <c r="BD118" s="111"/>
      <c r="BE118" s="111"/>
      <c r="BF118" s="111"/>
      <c r="BG118" s="111"/>
      <c r="BH118" s="111">
        <f t="shared" si="35"/>
        <v>0</v>
      </c>
      <c r="BI118" s="111"/>
      <c r="BJ118" s="133">
        <f t="shared" si="30"/>
        <v>-2.2664167968335973E-2</v>
      </c>
      <c r="BK118" s="134"/>
      <c r="BL118" s="134"/>
      <c r="BM118" s="135"/>
      <c r="BN118" s="135"/>
      <c r="BO118" s="135"/>
      <c r="BP118" s="135"/>
      <c r="BQ118" s="114">
        <f t="shared" si="45"/>
        <v>-2.2664167968335973E-2</v>
      </c>
      <c r="BR118" s="114">
        <f t="shared" si="40"/>
        <v>-2.5901906249526825E-2</v>
      </c>
      <c r="BS118" s="136"/>
      <c r="BT118" s="136"/>
      <c r="BU118" s="136"/>
      <c r="BV118" s="115">
        <f t="shared" si="41"/>
        <v>-3.0218890624447964E-2</v>
      </c>
      <c r="BW118" s="115"/>
      <c r="BX118" s="116">
        <f t="shared" si="34"/>
        <v>-4.6839280467894345E-2</v>
      </c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>
        <v>0</v>
      </c>
      <c r="CL118" s="116"/>
      <c r="CM118" s="119"/>
    </row>
    <row r="119" spans="1:92" s="118" customFormat="1" ht="25.5" x14ac:dyDescent="0.2">
      <c r="B119" s="99">
        <f t="shared" si="36"/>
        <v>111</v>
      </c>
      <c r="C119" s="100" t="s">
        <v>282</v>
      </c>
      <c r="D119" s="101" t="s">
        <v>283</v>
      </c>
      <c r="E119" s="100" t="s">
        <v>95</v>
      </c>
      <c r="F119" s="100" t="s">
        <v>96</v>
      </c>
      <c r="G119" s="103">
        <v>43647</v>
      </c>
      <c r="H119" s="103"/>
      <c r="I119" s="104">
        <v>5000000</v>
      </c>
      <c r="J119" s="105">
        <v>7.7499999999999999E-2</v>
      </c>
      <c r="K119" s="105">
        <v>7.4999999999999997E-2</v>
      </c>
      <c r="L119" s="106">
        <v>0.9</v>
      </c>
      <c r="M119" s="107">
        <v>5</v>
      </c>
      <c r="N119" s="107">
        <v>4</v>
      </c>
      <c r="O119" s="106">
        <v>12</v>
      </c>
      <c r="P119" s="107">
        <f t="shared" si="54"/>
        <v>145312.5</v>
      </c>
      <c r="Q119" s="107">
        <f t="shared" si="46"/>
        <v>3033280.3294915948</v>
      </c>
      <c r="R119" s="107">
        <f t="shared" si="47"/>
        <v>88154.709575849469</v>
      </c>
      <c r="S119" s="107">
        <f t="shared" si="48"/>
        <v>57157.790424150531</v>
      </c>
      <c r="T119" s="108">
        <v>0.606656065898319</v>
      </c>
      <c r="U119" s="107"/>
      <c r="V119" s="106"/>
      <c r="W119" s="107">
        <f t="shared" si="42"/>
        <v>3033280.3294915948</v>
      </c>
      <c r="X119" s="107">
        <f t="shared" si="42"/>
        <v>88154.709575849469</v>
      </c>
      <c r="Y119" s="109">
        <f t="shared" si="43"/>
        <v>3033280.3294915948</v>
      </c>
      <c r="Z119" s="109">
        <f t="shared" si="43"/>
        <v>88154.709575849469</v>
      </c>
      <c r="AA119" s="137"/>
      <c r="AB119" s="276">
        <v>71504.84</v>
      </c>
      <c r="AC119" s="109">
        <f t="shared" si="49"/>
        <v>16649.869575849472</v>
      </c>
      <c r="AD119" s="110">
        <v>0</v>
      </c>
      <c r="AE119" s="110">
        <f t="shared" si="27"/>
        <v>318277.07671874738</v>
      </c>
      <c r="AF119" s="110"/>
      <c r="AG119" s="111"/>
      <c r="AH119" s="111"/>
      <c r="AI119" s="111"/>
      <c r="AJ119" s="111"/>
      <c r="AK119" s="111"/>
      <c r="AL119" s="111">
        <f t="shared" si="44"/>
        <v>16649.869575849472</v>
      </c>
      <c r="AM119" s="111"/>
      <c r="AN119" s="111"/>
      <c r="AO119" s="111"/>
      <c r="AP119" s="111">
        <f t="shared" si="39"/>
        <v>16649.869575849472</v>
      </c>
      <c r="AQ119" s="111"/>
      <c r="AR119" s="111">
        <f t="shared" si="32"/>
        <v>16649.869575849472</v>
      </c>
      <c r="AS119" s="111"/>
      <c r="AT119" s="111">
        <v>0</v>
      </c>
      <c r="AU119" s="111">
        <f>AR119-AT119</f>
        <v>16649.869575849472</v>
      </c>
      <c r="AV119" s="111"/>
      <c r="AW119" s="111"/>
      <c r="AX119" s="111"/>
      <c r="AY119" s="111"/>
      <c r="AZ119" s="111"/>
      <c r="BA119" s="102">
        <v>224296.87499999997</v>
      </c>
      <c r="BB119" s="111"/>
      <c r="BC119" s="111"/>
      <c r="BD119" s="111"/>
      <c r="BE119" s="111"/>
      <c r="BF119" s="111">
        <v>203906.25</v>
      </c>
      <c r="BG119" s="111"/>
      <c r="BH119" s="111">
        <f t="shared" si="35"/>
        <v>20390.624999999971</v>
      </c>
      <c r="BI119" s="111">
        <v>0</v>
      </c>
      <c r="BJ119" s="112">
        <f t="shared" si="30"/>
        <v>358061.71130859083</v>
      </c>
      <c r="BK119" s="112"/>
      <c r="BL119" s="112"/>
      <c r="BM119" s="113"/>
      <c r="BN119" s="113"/>
      <c r="BO119" s="113"/>
      <c r="BP119" s="113"/>
      <c r="BQ119" s="114">
        <f t="shared" si="45"/>
        <v>358061.71130859083</v>
      </c>
      <c r="BR119" s="114">
        <f t="shared" si="40"/>
        <v>409213.38435267523</v>
      </c>
      <c r="BS119" s="98"/>
      <c r="BT119" s="98"/>
      <c r="BU119" s="98"/>
      <c r="BV119" s="115">
        <f t="shared" si="41"/>
        <v>477415.61507812107</v>
      </c>
      <c r="BW119" s="115"/>
      <c r="BX119" s="116">
        <f t="shared" si="34"/>
        <v>739994.20337108767</v>
      </c>
      <c r="BY119" s="116">
        <v>0</v>
      </c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>
        <v>12500000</v>
      </c>
      <c r="CJ119" s="116"/>
      <c r="CK119" s="116">
        <v>0</v>
      </c>
      <c r="CL119" s="116">
        <v>10000000</v>
      </c>
      <c r="CM119" s="217" t="s">
        <v>135</v>
      </c>
      <c r="CN119" s="201" t="s">
        <v>95</v>
      </c>
    </row>
    <row r="120" spans="1:92" s="118" customFormat="1" ht="25.5" x14ac:dyDescent="0.2">
      <c r="B120" s="99">
        <f t="shared" si="36"/>
        <v>112</v>
      </c>
      <c r="C120" s="100" t="s">
        <v>282</v>
      </c>
      <c r="D120" s="101" t="s">
        <v>283</v>
      </c>
      <c r="E120" s="100" t="s">
        <v>161</v>
      </c>
      <c r="F120" s="100" t="s">
        <v>96</v>
      </c>
      <c r="G120" s="103"/>
      <c r="H120" s="103"/>
      <c r="I120" s="104"/>
      <c r="J120" s="105"/>
      <c r="K120" s="105"/>
      <c r="L120" s="106"/>
      <c r="M120" s="107"/>
      <c r="N120" s="107"/>
      <c r="O120" s="106"/>
      <c r="P120" s="107"/>
      <c r="Q120" s="107"/>
      <c r="R120" s="107"/>
      <c r="S120" s="107"/>
      <c r="T120" s="108"/>
      <c r="U120" s="107"/>
      <c r="V120" s="106"/>
      <c r="W120" s="107"/>
      <c r="X120" s="107"/>
      <c r="Y120" s="109"/>
      <c r="Z120" s="109"/>
      <c r="AA120" s="137"/>
      <c r="AB120" s="276"/>
      <c r="AC120" s="109"/>
      <c r="AD120" s="110"/>
      <c r="AE120" s="110"/>
      <c r="AF120" s="110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02">
        <v>44859.375</v>
      </c>
      <c r="BB120" s="111"/>
      <c r="BC120" s="111"/>
      <c r="BD120" s="111"/>
      <c r="BE120" s="111"/>
      <c r="BF120" s="111">
        <v>40781.25</v>
      </c>
      <c r="BG120" s="111"/>
      <c r="BH120" s="111">
        <f t="shared" si="35"/>
        <v>4078.125</v>
      </c>
      <c r="BI120" s="111">
        <v>0</v>
      </c>
      <c r="BJ120" s="112"/>
      <c r="BK120" s="112"/>
      <c r="BL120" s="112"/>
      <c r="BM120" s="113"/>
      <c r="BN120" s="113"/>
      <c r="BO120" s="113"/>
      <c r="BP120" s="113"/>
      <c r="BQ120" s="114"/>
      <c r="BR120" s="114"/>
      <c r="BS120" s="98"/>
      <c r="BT120" s="98"/>
      <c r="BU120" s="98"/>
      <c r="BV120" s="115"/>
      <c r="BW120" s="115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>
        <v>2500000</v>
      </c>
      <c r="CJ120" s="116"/>
      <c r="CK120" s="116">
        <v>0</v>
      </c>
      <c r="CL120" s="116"/>
      <c r="CM120" s="217"/>
      <c r="CN120" s="201"/>
    </row>
    <row r="121" spans="1:92" s="120" customFormat="1" ht="25.5" x14ac:dyDescent="0.2">
      <c r="A121" s="120">
        <f>A118+1</f>
        <v>64</v>
      </c>
      <c r="B121" s="99">
        <f t="shared" si="36"/>
        <v>113</v>
      </c>
      <c r="C121" s="122" t="s">
        <v>284</v>
      </c>
      <c r="D121" s="123" t="s">
        <v>285</v>
      </c>
      <c r="E121" s="122" t="s">
        <v>95</v>
      </c>
      <c r="F121" s="100" t="s">
        <v>134</v>
      </c>
      <c r="G121" s="124">
        <v>43497</v>
      </c>
      <c r="H121" s="124">
        <v>43497</v>
      </c>
      <c r="I121" s="125">
        <v>20000000</v>
      </c>
      <c r="J121" s="126">
        <v>7.7499999999999999E-2</v>
      </c>
      <c r="K121" s="105">
        <v>7.4999999999999997E-2</v>
      </c>
      <c r="L121" s="127">
        <v>0.9</v>
      </c>
      <c r="M121" s="128">
        <v>10</v>
      </c>
      <c r="N121" s="128"/>
      <c r="O121" s="127">
        <v>12</v>
      </c>
      <c r="P121" s="128">
        <f t="shared" si="54"/>
        <v>1162500</v>
      </c>
      <c r="Q121" s="128">
        <f t="shared" si="46"/>
        <v>12133121.317966379</v>
      </c>
      <c r="R121" s="128">
        <f t="shared" si="47"/>
        <v>705237.67660679575</v>
      </c>
      <c r="S121" s="128">
        <f t="shared" si="48"/>
        <v>457262.32339320425</v>
      </c>
      <c r="T121" s="129">
        <v>0.606656065898319</v>
      </c>
      <c r="U121" s="128">
        <v>60000000</v>
      </c>
      <c r="V121" s="141">
        <f>3487500-V122-V123-V124</f>
        <v>2253334.0699999998</v>
      </c>
      <c r="W121" s="128">
        <f t="shared" si="42"/>
        <v>-47866878.682033621</v>
      </c>
      <c r="X121" s="128">
        <f t="shared" si="42"/>
        <v>-1548096.3933932041</v>
      </c>
      <c r="Y121" s="130">
        <f t="shared" si="43"/>
        <v>-47866878.682033621</v>
      </c>
      <c r="Z121" s="130">
        <f t="shared" si="43"/>
        <v>-1548096.3933932041</v>
      </c>
      <c r="AA121" s="130"/>
      <c r="AB121" s="130"/>
      <c r="AC121" s="130">
        <f t="shared" si="49"/>
        <v>-1548096.3933932041</v>
      </c>
      <c r="AD121" s="131">
        <v>-26633916.375592455</v>
      </c>
      <c r="AE121" s="131">
        <f t="shared" si="27"/>
        <v>-29593240.49497164</v>
      </c>
      <c r="AF121" s="131"/>
      <c r="AG121" s="132"/>
      <c r="AH121" s="132"/>
      <c r="AI121" s="132"/>
      <c r="AJ121" s="132"/>
      <c r="AK121" s="132"/>
      <c r="AL121" s="111">
        <f t="shared" si="44"/>
        <v>-1548096.3933932041</v>
      </c>
      <c r="AM121" s="111"/>
      <c r="AN121" s="111"/>
      <c r="AO121" s="111"/>
      <c r="AP121" s="111">
        <f t="shared" si="39"/>
        <v>-1548096.3933932041</v>
      </c>
      <c r="AQ121" s="111"/>
      <c r="AR121" s="111">
        <f t="shared" si="32"/>
        <v>-1548096.3933932041</v>
      </c>
      <c r="AS121" s="111"/>
      <c r="AT121" s="111">
        <v>0</v>
      </c>
      <c r="AU121" s="111"/>
      <c r="AV121" s="111"/>
      <c r="AW121" s="111"/>
      <c r="AX121" s="111"/>
      <c r="AY121" s="111"/>
      <c r="AZ121" s="111"/>
      <c r="BA121" s="111">
        <f t="shared" si="33"/>
        <v>0</v>
      </c>
      <c r="BB121" s="111"/>
      <c r="BC121" s="111"/>
      <c r="BD121" s="111"/>
      <c r="BE121" s="111"/>
      <c r="BF121" s="111"/>
      <c r="BG121" s="111"/>
      <c r="BH121" s="111">
        <f t="shared" si="35"/>
        <v>0</v>
      </c>
      <c r="BI121" s="111"/>
      <c r="BJ121" s="133">
        <f t="shared" si="30"/>
        <v>-33292395.556843098</v>
      </c>
      <c r="BK121" s="134"/>
      <c r="BL121" s="134"/>
      <c r="BM121" s="135"/>
      <c r="BN121" s="135"/>
      <c r="BO121" s="135"/>
      <c r="BP121" s="135"/>
      <c r="BQ121" s="114">
        <f t="shared" si="45"/>
        <v>-33292395.556843098</v>
      </c>
      <c r="BR121" s="114">
        <f t="shared" si="40"/>
        <v>-38048452.064963542</v>
      </c>
      <c r="BS121" s="136"/>
      <c r="BT121" s="136"/>
      <c r="BU121" s="136"/>
      <c r="BV121" s="115">
        <f t="shared" si="41"/>
        <v>-44389860.742457464</v>
      </c>
      <c r="BW121" s="115"/>
      <c r="BX121" s="116">
        <f t="shared" si="34"/>
        <v>-68804284.150809079</v>
      </c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>
        <v>0</v>
      </c>
      <c r="CL121" s="116"/>
      <c r="CM121" s="119"/>
    </row>
    <row r="122" spans="1:92" s="120" customFormat="1" ht="25.5" x14ac:dyDescent="0.2">
      <c r="B122" s="99">
        <f t="shared" si="36"/>
        <v>114</v>
      </c>
      <c r="C122" s="122" t="s">
        <v>284</v>
      </c>
      <c r="D122" s="123" t="s">
        <v>285</v>
      </c>
      <c r="E122" s="122" t="s">
        <v>95</v>
      </c>
      <c r="F122" s="100" t="s">
        <v>134</v>
      </c>
      <c r="G122" s="124">
        <v>43525</v>
      </c>
      <c r="H122" s="124">
        <v>43525</v>
      </c>
      <c r="I122" s="125">
        <v>20000000</v>
      </c>
      <c r="J122" s="126">
        <v>7.7499999999999999E-2</v>
      </c>
      <c r="K122" s="105">
        <v>7.4999999999999997E-2</v>
      </c>
      <c r="L122" s="127">
        <v>0.9</v>
      </c>
      <c r="M122" s="128">
        <v>9</v>
      </c>
      <c r="N122" s="128"/>
      <c r="O122" s="127">
        <v>12</v>
      </c>
      <c r="P122" s="128">
        <f t="shared" si="54"/>
        <v>1046250</v>
      </c>
      <c r="Q122" s="128">
        <f t="shared" si="46"/>
        <v>12133121.317966379</v>
      </c>
      <c r="R122" s="128">
        <f t="shared" si="47"/>
        <v>634713.90894611622</v>
      </c>
      <c r="S122" s="128">
        <f t="shared" si="48"/>
        <v>411536.09105388378</v>
      </c>
      <c r="T122" s="129">
        <v>0.606656065898319</v>
      </c>
      <c r="U122" s="128"/>
      <c r="V122" s="127">
        <v>634713.91</v>
      </c>
      <c r="W122" s="128">
        <f t="shared" si="42"/>
        <v>12133121.317966379</v>
      </c>
      <c r="X122" s="128">
        <f t="shared" si="42"/>
        <v>-1.0538838105276227E-3</v>
      </c>
      <c r="Y122" s="130">
        <f t="shared" si="43"/>
        <v>12133121.317966379</v>
      </c>
      <c r="Z122" s="130">
        <f t="shared" si="43"/>
        <v>-1.0538838105276227E-3</v>
      </c>
      <c r="AA122" s="138"/>
      <c r="AB122" s="138"/>
      <c r="AC122" s="130">
        <f t="shared" si="49"/>
        <v>-1.0538838105276227E-3</v>
      </c>
      <c r="AD122" s="131">
        <v>0</v>
      </c>
      <c r="AE122" s="131">
        <f t="shared" si="27"/>
        <v>-2.0145927082965309E-2</v>
      </c>
      <c r="AF122" s="131"/>
      <c r="AG122" s="132"/>
      <c r="AH122" s="132"/>
      <c r="AI122" s="132"/>
      <c r="AJ122" s="132"/>
      <c r="AK122" s="132"/>
      <c r="AL122" s="111">
        <f t="shared" si="44"/>
        <v>-1.0538838105276227E-3</v>
      </c>
      <c r="AM122" s="111"/>
      <c r="AN122" s="111"/>
      <c r="AO122" s="111"/>
      <c r="AP122" s="111">
        <f t="shared" si="39"/>
        <v>-1.0538838105276227E-3</v>
      </c>
      <c r="AQ122" s="111"/>
      <c r="AR122" s="111">
        <f t="shared" si="32"/>
        <v>-1.0538838105276227E-3</v>
      </c>
      <c r="AS122" s="111"/>
      <c r="AT122" s="111">
        <v>0</v>
      </c>
      <c r="AU122" s="111">
        <f t="shared" ref="AU122:AU129" si="56">AR122-AT122</f>
        <v>-1.0538838105276227E-3</v>
      </c>
      <c r="AV122" s="111"/>
      <c r="AW122" s="111"/>
      <c r="AX122" s="111"/>
      <c r="AY122" s="111"/>
      <c r="AZ122" s="111"/>
      <c r="BA122" s="111">
        <f t="shared" si="33"/>
        <v>0</v>
      </c>
      <c r="BB122" s="111"/>
      <c r="BC122" s="111"/>
      <c r="BD122" s="111"/>
      <c r="BE122" s="111"/>
      <c r="BF122" s="111"/>
      <c r="BG122" s="111"/>
      <c r="BH122" s="111">
        <f t="shared" si="35"/>
        <v>0</v>
      </c>
      <c r="BI122" s="111"/>
      <c r="BJ122" s="133">
        <f t="shared" si="30"/>
        <v>-2.2664167968335973E-2</v>
      </c>
      <c r="BK122" s="134"/>
      <c r="BL122" s="134"/>
      <c r="BM122" s="135"/>
      <c r="BN122" s="135"/>
      <c r="BO122" s="135"/>
      <c r="BP122" s="135"/>
      <c r="BQ122" s="114">
        <f t="shared" si="45"/>
        <v>-2.2664167968335973E-2</v>
      </c>
      <c r="BR122" s="114">
        <f t="shared" si="40"/>
        <v>-2.5901906249526825E-2</v>
      </c>
      <c r="BS122" s="136"/>
      <c r="BT122" s="136"/>
      <c r="BU122" s="136"/>
      <c r="BV122" s="115">
        <f t="shared" si="41"/>
        <v>-3.0218890624447964E-2</v>
      </c>
      <c r="BW122" s="115"/>
      <c r="BX122" s="116">
        <f t="shared" si="34"/>
        <v>-4.6839280467894345E-2</v>
      </c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>
        <v>0</v>
      </c>
      <c r="CL122" s="116"/>
      <c r="CM122" s="119"/>
    </row>
    <row r="123" spans="1:92" s="120" customFormat="1" ht="25.5" x14ac:dyDescent="0.2">
      <c r="B123" s="99">
        <f t="shared" si="36"/>
        <v>115</v>
      </c>
      <c r="C123" s="122" t="s">
        <v>284</v>
      </c>
      <c r="D123" s="123" t="s">
        <v>285</v>
      </c>
      <c r="E123" s="122" t="s">
        <v>95</v>
      </c>
      <c r="F123" s="100" t="s">
        <v>134</v>
      </c>
      <c r="G123" s="124">
        <v>43586</v>
      </c>
      <c r="H123" s="124">
        <v>43586</v>
      </c>
      <c r="I123" s="125">
        <v>20000000</v>
      </c>
      <c r="J123" s="126">
        <v>7.7499999999999999E-2</v>
      </c>
      <c r="K123" s="105">
        <v>7.4999999999999997E-2</v>
      </c>
      <c r="L123" s="127">
        <v>0.9</v>
      </c>
      <c r="M123" s="128">
        <v>7</v>
      </c>
      <c r="N123" s="128"/>
      <c r="O123" s="127">
        <v>12</v>
      </c>
      <c r="P123" s="128">
        <f t="shared" si="54"/>
        <v>813750</v>
      </c>
      <c r="Q123" s="128">
        <f t="shared" si="46"/>
        <v>12133121.317966379</v>
      </c>
      <c r="R123" s="128">
        <f t="shared" si="47"/>
        <v>493666.37362475699</v>
      </c>
      <c r="S123" s="128">
        <f t="shared" si="48"/>
        <v>320083.62637524301</v>
      </c>
      <c r="T123" s="129">
        <v>0.606656065898319</v>
      </c>
      <c r="U123" s="128"/>
      <c r="V123" s="127">
        <v>493666.37</v>
      </c>
      <c r="W123" s="128">
        <f t="shared" si="42"/>
        <v>12133121.317966379</v>
      </c>
      <c r="X123" s="128">
        <f t="shared" si="42"/>
        <v>3.6247569951228797E-3</v>
      </c>
      <c r="Y123" s="130">
        <f t="shared" si="43"/>
        <v>12133121.317966379</v>
      </c>
      <c r="Z123" s="130">
        <f t="shared" si="43"/>
        <v>3.6247569951228797E-3</v>
      </c>
      <c r="AA123" s="138"/>
      <c r="AB123" s="138"/>
      <c r="AC123" s="130">
        <f t="shared" si="49"/>
        <v>3.6247569951228797E-3</v>
      </c>
      <c r="AD123" s="131">
        <v>0</v>
      </c>
      <c r="AE123" s="131">
        <f t="shared" si="27"/>
        <v>6.9290456298645262E-2</v>
      </c>
      <c r="AF123" s="131"/>
      <c r="AG123" s="132"/>
      <c r="AH123" s="132"/>
      <c r="AI123" s="132"/>
      <c r="AJ123" s="132"/>
      <c r="AK123" s="132"/>
      <c r="AL123" s="111">
        <f t="shared" si="44"/>
        <v>3.6247569951228797E-3</v>
      </c>
      <c r="AM123" s="111"/>
      <c r="AN123" s="111"/>
      <c r="AO123" s="111"/>
      <c r="AP123" s="111">
        <f t="shared" si="39"/>
        <v>3.6247569951228797E-3</v>
      </c>
      <c r="AQ123" s="111"/>
      <c r="AR123" s="111">
        <f t="shared" si="32"/>
        <v>3.6247569951228797E-3</v>
      </c>
      <c r="AS123" s="111"/>
      <c r="AT123" s="111">
        <v>0</v>
      </c>
      <c r="AU123" s="111">
        <f t="shared" si="56"/>
        <v>3.6247569951228797E-3</v>
      </c>
      <c r="AV123" s="111"/>
      <c r="AW123" s="111"/>
      <c r="AX123" s="111"/>
      <c r="AY123" s="111"/>
      <c r="AZ123" s="111"/>
      <c r="BA123" s="111">
        <f t="shared" si="33"/>
        <v>0</v>
      </c>
      <c r="BB123" s="111"/>
      <c r="BC123" s="111"/>
      <c r="BD123" s="111"/>
      <c r="BE123" s="111"/>
      <c r="BF123" s="111"/>
      <c r="BG123" s="111"/>
      <c r="BH123" s="111">
        <f t="shared" si="35"/>
        <v>0</v>
      </c>
      <c r="BI123" s="111"/>
      <c r="BJ123" s="112">
        <f t="shared" si="30"/>
        <v>7.7951763335975921E-2</v>
      </c>
      <c r="BK123" s="134"/>
      <c r="BL123" s="134"/>
      <c r="BM123" s="135"/>
      <c r="BN123" s="135"/>
      <c r="BO123" s="135"/>
      <c r="BP123" s="135"/>
      <c r="BQ123" s="114">
        <f t="shared" si="45"/>
        <v>7.7951763335975921E-2</v>
      </c>
      <c r="BR123" s="114">
        <f t="shared" si="40"/>
        <v>8.9087729526829612E-2</v>
      </c>
      <c r="BS123" s="136"/>
      <c r="BT123" s="136"/>
      <c r="BU123" s="136"/>
      <c r="BV123" s="115">
        <f t="shared" si="41"/>
        <v>0.10393568444796789</v>
      </c>
      <c r="BW123" s="115"/>
      <c r="BX123" s="116">
        <f t="shared" si="34"/>
        <v>0.16110031089435023</v>
      </c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>
        <v>0</v>
      </c>
      <c r="CL123" s="116"/>
      <c r="CM123" s="119"/>
    </row>
    <row r="124" spans="1:92" s="120" customFormat="1" ht="25.5" x14ac:dyDescent="0.2">
      <c r="B124" s="99">
        <f t="shared" si="36"/>
        <v>116</v>
      </c>
      <c r="C124" s="122" t="s">
        <v>284</v>
      </c>
      <c r="D124" s="123" t="s">
        <v>285</v>
      </c>
      <c r="E124" s="122" t="s">
        <v>95</v>
      </c>
      <c r="F124" s="100" t="s">
        <v>134</v>
      </c>
      <c r="G124" s="124">
        <v>43770</v>
      </c>
      <c r="H124" s="124">
        <v>43770</v>
      </c>
      <c r="I124" s="125">
        <v>30000000</v>
      </c>
      <c r="J124" s="126">
        <v>7.7499999999999999E-2</v>
      </c>
      <c r="K124" s="105">
        <v>7.4999999999999997E-2</v>
      </c>
      <c r="L124" s="127">
        <v>0.9</v>
      </c>
      <c r="M124" s="128">
        <v>1</v>
      </c>
      <c r="N124" s="128"/>
      <c r="O124" s="127">
        <v>12</v>
      </c>
      <c r="P124" s="128">
        <f t="shared" si="54"/>
        <v>174375</v>
      </c>
      <c r="Q124" s="128">
        <f t="shared" si="46"/>
        <v>18199681.976949569</v>
      </c>
      <c r="R124" s="128">
        <f t="shared" si="47"/>
        <v>105785.65149101937</v>
      </c>
      <c r="S124" s="128">
        <f t="shared" si="48"/>
        <v>68589.348508980635</v>
      </c>
      <c r="T124" s="129">
        <v>0.606656065898319</v>
      </c>
      <c r="U124" s="128"/>
      <c r="V124" s="127">
        <v>105785.65</v>
      </c>
      <c r="W124" s="128">
        <f t="shared" si="42"/>
        <v>18199681.976949569</v>
      </c>
      <c r="X124" s="128">
        <f t="shared" si="42"/>
        <v>1.4910193713149056E-3</v>
      </c>
      <c r="Y124" s="130">
        <f t="shared" si="43"/>
        <v>18199681.976949569</v>
      </c>
      <c r="Z124" s="130">
        <f t="shared" si="43"/>
        <v>1.4910193713149056E-3</v>
      </c>
      <c r="AA124" s="138"/>
      <c r="AB124" s="138"/>
      <c r="AC124" s="130">
        <f t="shared" si="49"/>
        <v>1.4910193713149056E-3</v>
      </c>
      <c r="AD124" s="131">
        <v>0</v>
      </c>
      <c r="AE124" s="131">
        <f t="shared" si="27"/>
        <v>2.8502162414621855E-2</v>
      </c>
      <c r="AF124" s="131"/>
      <c r="AG124" s="132"/>
      <c r="AH124" s="132"/>
      <c r="AI124" s="132"/>
      <c r="AJ124" s="132"/>
      <c r="AK124" s="132"/>
      <c r="AL124" s="111">
        <f t="shared" si="44"/>
        <v>1.4910193713149056E-3</v>
      </c>
      <c r="AM124" s="111"/>
      <c r="AN124" s="111"/>
      <c r="AO124" s="111"/>
      <c r="AP124" s="111">
        <f t="shared" si="39"/>
        <v>1.4910193713149056E-3</v>
      </c>
      <c r="AQ124" s="111"/>
      <c r="AR124" s="111">
        <f t="shared" si="32"/>
        <v>1.4910193713149056E-3</v>
      </c>
      <c r="AS124" s="111"/>
      <c r="AT124" s="111">
        <v>0</v>
      </c>
      <c r="AU124" s="111">
        <f t="shared" si="56"/>
        <v>1.4910193713149056E-3</v>
      </c>
      <c r="AV124" s="111"/>
      <c r="AW124" s="111"/>
      <c r="AX124" s="111"/>
      <c r="AY124" s="111"/>
      <c r="AZ124" s="111"/>
      <c r="BA124" s="111">
        <f t="shared" si="33"/>
        <v>0</v>
      </c>
      <c r="BB124" s="111"/>
      <c r="BC124" s="111"/>
      <c r="BD124" s="111"/>
      <c r="BE124" s="111"/>
      <c r="BF124" s="111"/>
      <c r="BG124" s="111"/>
      <c r="BH124" s="111">
        <f t="shared" si="35"/>
        <v>0</v>
      </c>
      <c r="BI124" s="111"/>
      <c r="BJ124" s="112">
        <f t="shared" si="30"/>
        <v>3.2064932716449585E-2</v>
      </c>
      <c r="BK124" s="134"/>
      <c r="BL124" s="134"/>
      <c r="BM124" s="135"/>
      <c r="BN124" s="135"/>
      <c r="BO124" s="135"/>
      <c r="BP124" s="135"/>
      <c r="BQ124" s="114">
        <f t="shared" si="45"/>
        <v>3.2064932716449585E-2</v>
      </c>
      <c r="BR124" s="114">
        <f t="shared" si="40"/>
        <v>3.6645637390228095E-2</v>
      </c>
      <c r="BS124" s="136"/>
      <c r="BT124" s="136"/>
      <c r="BU124" s="136"/>
      <c r="BV124" s="115">
        <f t="shared" si="41"/>
        <v>4.2753243621932779E-2</v>
      </c>
      <c r="BW124" s="115"/>
      <c r="BX124" s="116">
        <f t="shared" si="34"/>
        <v>6.6267527613995805E-2</v>
      </c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>
        <v>0</v>
      </c>
      <c r="CL124" s="116"/>
      <c r="CM124" s="119"/>
    </row>
    <row r="125" spans="1:92" s="120" customFormat="1" ht="25.5" x14ac:dyDescent="0.2">
      <c r="B125" s="99">
        <f t="shared" si="36"/>
        <v>117</v>
      </c>
      <c r="C125" s="122" t="s">
        <v>284</v>
      </c>
      <c r="D125" s="123" t="s">
        <v>285</v>
      </c>
      <c r="E125" s="122" t="s">
        <v>161</v>
      </c>
      <c r="F125" s="100" t="s">
        <v>134</v>
      </c>
      <c r="G125" s="124">
        <v>43800</v>
      </c>
      <c r="H125" s="124">
        <v>43800</v>
      </c>
      <c r="I125" s="125">
        <v>10000000</v>
      </c>
      <c r="J125" s="126">
        <v>7.7499999999999999E-2</v>
      </c>
      <c r="K125" s="105">
        <v>7.4999999999999997E-2</v>
      </c>
      <c r="L125" s="127">
        <v>0.9</v>
      </c>
      <c r="M125" s="128">
        <v>0</v>
      </c>
      <c r="N125" s="128"/>
      <c r="O125" s="127">
        <v>12</v>
      </c>
      <c r="P125" s="128">
        <f t="shared" si="54"/>
        <v>0</v>
      </c>
      <c r="Q125" s="128">
        <f t="shared" si="46"/>
        <v>6066560.6589831896</v>
      </c>
      <c r="R125" s="128">
        <f t="shared" si="47"/>
        <v>0</v>
      </c>
      <c r="S125" s="128">
        <f t="shared" si="48"/>
        <v>0</v>
      </c>
      <c r="T125" s="129">
        <v>0.606656065898319</v>
      </c>
      <c r="U125" s="128"/>
      <c r="V125" s="127"/>
      <c r="W125" s="128">
        <f t="shared" si="42"/>
        <v>6066560.6589831896</v>
      </c>
      <c r="X125" s="128">
        <f t="shared" si="42"/>
        <v>0</v>
      </c>
      <c r="Y125" s="130">
        <f t="shared" si="43"/>
        <v>6066560.6589831896</v>
      </c>
      <c r="Z125" s="130">
        <f t="shared" si="43"/>
        <v>0</v>
      </c>
      <c r="AA125" s="138"/>
      <c r="AB125" s="138"/>
      <c r="AC125" s="130">
        <f t="shared" si="49"/>
        <v>0</v>
      </c>
      <c r="AD125" s="131">
        <v>0</v>
      </c>
      <c r="AE125" s="131">
        <f t="shared" si="27"/>
        <v>0</v>
      </c>
      <c r="AF125" s="131"/>
      <c r="AG125" s="132"/>
      <c r="AH125" s="132"/>
      <c r="AI125" s="132"/>
      <c r="AJ125" s="132"/>
      <c r="AK125" s="132"/>
      <c r="AL125" s="111">
        <f t="shared" si="44"/>
        <v>0</v>
      </c>
      <c r="AM125" s="111"/>
      <c r="AN125" s="111"/>
      <c r="AO125" s="111"/>
      <c r="AP125" s="111">
        <f t="shared" si="39"/>
        <v>0</v>
      </c>
      <c r="AQ125" s="111"/>
      <c r="AR125" s="111">
        <f t="shared" si="32"/>
        <v>0</v>
      </c>
      <c r="AS125" s="111"/>
      <c r="AT125" s="111">
        <v>0</v>
      </c>
      <c r="AU125" s="111">
        <f t="shared" si="56"/>
        <v>0</v>
      </c>
      <c r="AV125" s="111"/>
      <c r="AW125" s="111"/>
      <c r="AX125" s="111"/>
      <c r="AY125" s="111"/>
      <c r="AZ125" s="111"/>
      <c r="BA125" s="111">
        <f t="shared" si="33"/>
        <v>0</v>
      </c>
      <c r="BB125" s="111"/>
      <c r="BC125" s="111"/>
      <c r="BD125" s="111"/>
      <c r="BE125" s="111"/>
      <c r="BF125" s="111"/>
      <c r="BG125" s="111"/>
      <c r="BH125" s="111">
        <f t="shared" si="35"/>
        <v>0</v>
      </c>
      <c r="BI125" s="111"/>
      <c r="BJ125" s="112">
        <f t="shared" si="30"/>
        <v>0</v>
      </c>
      <c r="BK125" s="134"/>
      <c r="BL125" s="134"/>
      <c r="BM125" s="135"/>
      <c r="BN125" s="135"/>
      <c r="BO125" s="135"/>
      <c r="BP125" s="135"/>
      <c r="BQ125" s="114">
        <f t="shared" si="45"/>
        <v>0</v>
      </c>
      <c r="BR125" s="114">
        <f t="shared" si="40"/>
        <v>0</v>
      </c>
      <c r="BS125" s="136"/>
      <c r="BT125" s="136"/>
      <c r="BU125" s="136"/>
      <c r="BV125" s="115">
        <f t="shared" si="41"/>
        <v>0</v>
      </c>
      <c r="BW125" s="115"/>
      <c r="BX125" s="116">
        <f t="shared" si="34"/>
        <v>0</v>
      </c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>
        <v>0</v>
      </c>
      <c r="CL125" s="116"/>
      <c r="CM125" s="119"/>
    </row>
    <row r="126" spans="1:92" s="120" customFormat="1" ht="25.5" x14ac:dyDescent="0.2">
      <c r="B126" s="99">
        <f t="shared" si="36"/>
        <v>118</v>
      </c>
      <c r="C126" s="122" t="s">
        <v>284</v>
      </c>
      <c r="D126" s="123" t="s">
        <v>285</v>
      </c>
      <c r="E126" s="122" t="s">
        <v>95</v>
      </c>
      <c r="F126" s="100" t="s">
        <v>134</v>
      </c>
      <c r="G126" s="124"/>
      <c r="H126" s="124" t="s">
        <v>148</v>
      </c>
      <c r="I126" s="125"/>
      <c r="J126" s="126"/>
      <c r="K126" s="105">
        <v>7.4999999999999997E-2</v>
      </c>
      <c r="L126" s="106">
        <v>0.9</v>
      </c>
      <c r="M126" s="107">
        <v>9</v>
      </c>
      <c r="N126" s="107">
        <v>4</v>
      </c>
      <c r="O126" s="106">
        <v>12</v>
      </c>
      <c r="P126" s="128"/>
      <c r="Q126" s="128"/>
      <c r="R126" s="128"/>
      <c r="S126" s="128"/>
      <c r="T126" s="129"/>
      <c r="U126" s="128"/>
      <c r="V126" s="127"/>
      <c r="W126" s="128"/>
      <c r="X126" s="128"/>
      <c r="Y126" s="130"/>
      <c r="Z126" s="130"/>
      <c r="AA126" s="138"/>
      <c r="AB126" s="138"/>
      <c r="AC126" s="130"/>
      <c r="AD126" s="131"/>
      <c r="AE126" s="131"/>
      <c r="AF126" s="131"/>
      <c r="AG126" s="132"/>
      <c r="AH126" s="132"/>
      <c r="AI126" s="132"/>
      <c r="AJ126" s="132"/>
      <c r="AK126" s="132"/>
      <c r="AL126" s="111"/>
      <c r="AM126" s="111"/>
      <c r="AN126" s="111"/>
      <c r="AO126" s="111"/>
      <c r="AP126" s="111"/>
      <c r="AQ126" s="111"/>
      <c r="AR126" s="111">
        <f t="shared" si="32"/>
        <v>0</v>
      </c>
      <c r="AS126" s="111"/>
      <c r="AT126" s="111">
        <v>0</v>
      </c>
      <c r="AU126" s="111">
        <f t="shared" si="56"/>
        <v>0</v>
      </c>
      <c r="AV126" s="111"/>
      <c r="AW126" s="111"/>
      <c r="AX126" s="111"/>
      <c r="AY126" s="111"/>
      <c r="AZ126" s="111"/>
      <c r="BA126" s="277">
        <v>337500</v>
      </c>
      <c r="BB126" s="111"/>
      <c r="BC126" s="111"/>
      <c r="BD126" s="111"/>
      <c r="BE126" s="111">
        <v>498760.27</v>
      </c>
      <c r="BF126" s="111"/>
      <c r="BG126" s="111"/>
      <c r="BH126" s="111">
        <f t="shared" si="35"/>
        <v>-161260.27000000002</v>
      </c>
      <c r="BI126" s="111"/>
      <c r="BJ126" s="112"/>
      <c r="BK126" s="134"/>
      <c r="BL126" s="134"/>
      <c r="BM126" s="135"/>
      <c r="BN126" s="135"/>
      <c r="BO126" s="135"/>
      <c r="BP126" s="135"/>
      <c r="BQ126" s="114"/>
      <c r="BR126" s="114"/>
      <c r="BS126" s="136"/>
      <c r="BT126" s="136"/>
      <c r="BU126" s="136"/>
      <c r="BV126" s="115"/>
      <c r="BW126" s="115"/>
      <c r="BX126" s="116">
        <f t="shared" si="34"/>
        <v>0</v>
      </c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>
        <v>30000000</v>
      </c>
      <c r="CI126" s="116"/>
      <c r="CJ126" s="116"/>
      <c r="CK126" s="116">
        <v>0</v>
      </c>
      <c r="CL126" s="116">
        <v>30000000</v>
      </c>
      <c r="CM126" s="119" t="s">
        <v>105</v>
      </c>
      <c r="CN126" s="120" t="s">
        <v>272</v>
      </c>
    </row>
    <row r="127" spans="1:92" s="120" customFormat="1" ht="25.5" x14ac:dyDescent="0.2">
      <c r="B127" s="99">
        <f t="shared" si="36"/>
        <v>119</v>
      </c>
      <c r="C127" s="122" t="s">
        <v>284</v>
      </c>
      <c r="D127" s="123" t="s">
        <v>285</v>
      </c>
      <c r="E127" s="122"/>
      <c r="F127" s="100"/>
      <c r="G127" s="124"/>
      <c r="H127" s="124" t="s">
        <v>124</v>
      </c>
      <c r="I127" s="125"/>
      <c r="J127" s="126"/>
      <c r="K127" s="105">
        <v>7.4999999999999997E-2</v>
      </c>
      <c r="L127" s="106">
        <v>0.9</v>
      </c>
      <c r="M127" s="107">
        <v>9</v>
      </c>
      <c r="N127" s="107">
        <v>4</v>
      </c>
      <c r="O127" s="106">
        <v>12</v>
      </c>
      <c r="P127" s="128"/>
      <c r="Q127" s="128"/>
      <c r="R127" s="128"/>
      <c r="S127" s="128"/>
      <c r="T127" s="129"/>
      <c r="U127" s="128"/>
      <c r="V127" s="127"/>
      <c r="W127" s="128"/>
      <c r="X127" s="128"/>
      <c r="Y127" s="130"/>
      <c r="Z127" s="130"/>
      <c r="AA127" s="138"/>
      <c r="AB127" s="138"/>
      <c r="AC127" s="130"/>
      <c r="AD127" s="131"/>
      <c r="AE127" s="131"/>
      <c r="AF127" s="131"/>
      <c r="AG127" s="132"/>
      <c r="AH127" s="132"/>
      <c r="AI127" s="132"/>
      <c r="AJ127" s="132"/>
      <c r="AK127" s="132"/>
      <c r="AL127" s="111"/>
      <c r="AM127" s="111"/>
      <c r="AN127" s="111"/>
      <c r="AO127" s="111"/>
      <c r="AP127" s="111"/>
      <c r="AQ127" s="111"/>
      <c r="AR127" s="111">
        <f t="shared" si="32"/>
        <v>0</v>
      </c>
      <c r="AS127" s="111"/>
      <c r="AT127" s="111">
        <v>0</v>
      </c>
      <c r="AU127" s="111">
        <f t="shared" si="56"/>
        <v>0</v>
      </c>
      <c r="AV127" s="111"/>
      <c r="AW127" s="111"/>
      <c r="AX127" s="111"/>
      <c r="AY127" s="111"/>
      <c r="AZ127" s="111"/>
      <c r="BA127" s="277">
        <v>168750</v>
      </c>
      <c r="BB127" s="111"/>
      <c r="BC127" s="111"/>
      <c r="BD127" s="111"/>
      <c r="BE127" s="111">
        <v>386136.99</v>
      </c>
      <c r="BF127" s="111"/>
      <c r="BG127" s="111"/>
      <c r="BH127" s="111">
        <f t="shared" si="35"/>
        <v>-217386.99</v>
      </c>
      <c r="BI127" s="111"/>
      <c r="BJ127" s="112"/>
      <c r="BK127" s="134"/>
      <c r="BL127" s="134"/>
      <c r="BM127" s="135"/>
      <c r="BN127" s="135"/>
      <c r="BO127" s="135"/>
      <c r="BP127" s="135"/>
      <c r="BQ127" s="114"/>
      <c r="BR127" s="114"/>
      <c r="BS127" s="136"/>
      <c r="BT127" s="136"/>
      <c r="BU127" s="136"/>
      <c r="BV127" s="115"/>
      <c r="BW127" s="115"/>
      <c r="BX127" s="116">
        <f t="shared" si="34"/>
        <v>0</v>
      </c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>
        <v>30000000</v>
      </c>
      <c r="CI127" s="116"/>
      <c r="CJ127" s="116"/>
      <c r="CK127" s="116">
        <v>0</v>
      </c>
      <c r="CL127" s="116">
        <v>30000000</v>
      </c>
      <c r="CM127" s="119" t="s">
        <v>105</v>
      </c>
      <c r="CN127" s="120" t="s">
        <v>272</v>
      </c>
    </row>
    <row r="128" spans="1:92" s="174" customFormat="1" ht="25.5" x14ac:dyDescent="0.2">
      <c r="B128" s="145">
        <f t="shared" si="36"/>
        <v>120</v>
      </c>
      <c r="C128" s="204" t="s">
        <v>284</v>
      </c>
      <c r="D128" s="224" t="s">
        <v>285</v>
      </c>
      <c r="E128" s="204" t="s">
        <v>95</v>
      </c>
      <c r="F128" s="148" t="s">
        <v>134</v>
      </c>
      <c r="G128" s="205"/>
      <c r="H128" s="205" t="s">
        <v>124</v>
      </c>
      <c r="I128" s="206">
        <v>0</v>
      </c>
      <c r="J128" s="207"/>
      <c r="K128" s="151">
        <v>7.2499999999999995E-2</v>
      </c>
      <c r="L128" s="152">
        <v>0.9</v>
      </c>
      <c r="M128" s="153">
        <v>9</v>
      </c>
      <c r="N128" s="153">
        <v>1.5</v>
      </c>
      <c r="O128" s="152">
        <v>12</v>
      </c>
      <c r="P128" s="208"/>
      <c r="Q128" s="208"/>
      <c r="R128" s="208"/>
      <c r="S128" s="208"/>
      <c r="T128" s="209"/>
      <c r="U128" s="208"/>
      <c r="V128" s="220"/>
      <c r="W128" s="208"/>
      <c r="X128" s="208"/>
      <c r="Y128" s="210"/>
      <c r="Z128" s="210"/>
      <c r="AA128" s="221"/>
      <c r="AB128" s="221"/>
      <c r="AC128" s="210"/>
      <c r="AD128" s="211"/>
      <c r="AE128" s="211"/>
      <c r="AF128" s="211"/>
      <c r="AG128" s="198"/>
      <c r="AH128" s="198"/>
      <c r="AI128" s="198"/>
      <c r="AJ128" s="198"/>
      <c r="AK128" s="198"/>
      <c r="AL128" s="83"/>
      <c r="AM128" s="83"/>
      <c r="AN128" s="83"/>
      <c r="AO128" s="83"/>
      <c r="AP128" s="83"/>
      <c r="AQ128" s="83"/>
      <c r="AR128" s="83">
        <f t="shared" si="32"/>
        <v>0</v>
      </c>
      <c r="AS128" s="83"/>
      <c r="AT128" s="83">
        <v>0</v>
      </c>
      <c r="AU128" s="83">
        <f t="shared" si="56"/>
        <v>0</v>
      </c>
      <c r="AV128" s="83"/>
      <c r="AW128" s="83"/>
      <c r="AX128" s="83"/>
      <c r="AY128" s="83"/>
      <c r="AZ128" s="83"/>
      <c r="BA128" s="366">
        <v>0</v>
      </c>
      <c r="BB128" s="83"/>
      <c r="BC128" s="83"/>
      <c r="BD128" s="83"/>
      <c r="BE128" s="83"/>
      <c r="BF128" s="83"/>
      <c r="BG128" s="83"/>
      <c r="BH128" s="83">
        <f t="shared" si="35"/>
        <v>0</v>
      </c>
      <c r="BI128" s="83">
        <f>CK128*K128*L128*N128/O128</f>
        <v>163125</v>
      </c>
      <c r="BJ128" s="159"/>
      <c r="BK128" s="213"/>
      <c r="BL128" s="213"/>
      <c r="BM128" s="214"/>
      <c r="BN128" s="214"/>
      <c r="BO128" s="214"/>
      <c r="BP128" s="214"/>
      <c r="BQ128" s="160"/>
      <c r="BR128" s="160"/>
      <c r="BS128" s="215"/>
      <c r="BT128" s="215"/>
      <c r="BU128" s="215"/>
      <c r="BV128" s="162"/>
      <c r="BW128" s="162"/>
      <c r="BX128" s="95">
        <f t="shared" si="34"/>
        <v>0</v>
      </c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>
        <v>20000000</v>
      </c>
      <c r="CL128" s="95">
        <v>20000000</v>
      </c>
      <c r="CM128" s="216" t="s">
        <v>105</v>
      </c>
      <c r="CN128" s="174" t="s">
        <v>272</v>
      </c>
    </row>
    <row r="129" spans="1:93" s="118" customFormat="1" ht="25.5" x14ac:dyDescent="0.2">
      <c r="A129" s="118">
        <f>A121+1</f>
        <v>65</v>
      </c>
      <c r="B129" s="99">
        <f t="shared" si="36"/>
        <v>121</v>
      </c>
      <c r="C129" s="100" t="s">
        <v>286</v>
      </c>
      <c r="D129" s="101" t="s">
        <v>287</v>
      </c>
      <c r="E129" s="100" t="s">
        <v>95</v>
      </c>
      <c r="F129" s="100" t="s">
        <v>96</v>
      </c>
      <c r="G129" s="103">
        <v>43525</v>
      </c>
      <c r="H129" s="103" t="s">
        <v>142</v>
      </c>
      <c r="I129" s="104">
        <v>1000000</v>
      </c>
      <c r="J129" s="105">
        <v>7.7499999999999999E-2</v>
      </c>
      <c r="K129" s="105">
        <v>7.4999999999999997E-2</v>
      </c>
      <c r="L129" s="106">
        <v>0.9</v>
      </c>
      <c r="M129" s="107">
        <v>9</v>
      </c>
      <c r="N129" s="107">
        <v>4</v>
      </c>
      <c r="O129" s="106">
        <v>12</v>
      </c>
      <c r="P129" s="107">
        <f t="shared" si="54"/>
        <v>52312.5</v>
      </c>
      <c r="Q129" s="107">
        <f t="shared" si="46"/>
        <v>606656.06589831901</v>
      </c>
      <c r="R129" s="107">
        <f t="shared" si="47"/>
        <v>31735.695447305814</v>
      </c>
      <c r="S129" s="107">
        <f t="shared" si="48"/>
        <v>20576.804552694186</v>
      </c>
      <c r="T129" s="108">
        <v>0.606656065898319</v>
      </c>
      <c r="U129" s="107"/>
      <c r="V129" s="106"/>
      <c r="W129" s="107">
        <f t="shared" si="42"/>
        <v>606656.06589831901</v>
      </c>
      <c r="X129" s="107">
        <f t="shared" si="42"/>
        <v>31735.695447305814</v>
      </c>
      <c r="Y129" s="109">
        <f t="shared" si="43"/>
        <v>606656.06589831901</v>
      </c>
      <c r="Z129" s="109">
        <f t="shared" si="43"/>
        <v>31735.695447305814</v>
      </c>
      <c r="AA129" s="109"/>
      <c r="AB129" s="109"/>
      <c r="AC129" s="109">
        <f t="shared" si="49"/>
        <v>31735.695447305814</v>
      </c>
      <c r="AD129" s="110">
        <v>1091980.9186169743</v>
      </c>
      <c r="AE129" s="110">
        <f t="shared" si="27"/>
        <v>606656.06589831901</v>
      </c>
      <c r="AF129" s="110"/>
      <c r="AG129" s="111"/>
      <c r="AH129" s="111"/>
      <c r="AI129" s="111"/>
      <c r="AJ129" s="111"/>
      <c r="AK129" s="111"/>
      <c r="AL129" s="111">
        <f t="shared" si="44"/>
        <v>31735.695447305814</v>
      </c>
      <c r="AM129" s="111"/>
      <c r="AN129" s="111"/>
      <c r="AO129" s="111"/>
      <c r="AP129" s="111">
        <f t="shared" si="39"/>
        <v>31735.695447305814</v>
      </c>
      <c r="AQ129" s="111"/>
      <c r="AR129" s="111">
        <f t="shared" si="32"/>
        <v>31735.695447305814</v>
      </c>
      <c r="AS129" s="111"/>
      <c r="AT129" s="111">
        <f>BY129*K129*L129*N129/O129</f>
        <v>9000</v>
      </c>
      <c r="AU129" s="111">
        <f t="shared" si="56"/>
        <v>22735.695447305814</v>
      </c>
      <c r="AV129" s="111"/>
      <c r="AW129" s="111"/>
      <c r="AX129" s="111"/>
      <c r="AY129" s="111">
        <v>9000</v>
      </c>
      <c r="AZ129" s="111"/>
      <c r="BA129" s="111">
        <f t="shared" si="33"/>
        <v>9000</v>
      </c>
      <c r="BB129" s="111"/>
      <c r="BC129" s="111"/>
      <c r="BD129" s="111"/>
      <c r="BE129" s="111"/>
      <c r="BF129" s="111"/>
      <c r="BG129" s="111"/>
      <c r="BH129" s="111">
        <f t="shared" si="35"/>
        <v>9000</v>
      </c>
      <c r="BI129" s="111">
        <v>0</v>
      </c>
      <c r="BJ129" s="112">
        <f t="shared" si="30"/>
        <v>682488.07413560885</v>
      </c>
      <c r="BK129" s="112"/>
      <c r="BL129" s="112"/>
      <c r="BM129" s="113"/>
      <c r="BN129" s="113"/>
      <c r="BO129" s="113"/>
      <c r="BP129" s="113"/>
      <c r="BQ129" s="114">
        <f t="shared" si="45"/>
        <v>682488.07413560885</v>
      </c>
      <c r="BR129" s="114">
        <f t="shared" si="40"/>
        <v>779986.3704406959</v>
      </c>
      <c r="BS129" s="98"/>
      <c r="BT129" s="98"/>
      <c r="BU129" s="98"/>
      <c r="BV129" s="115">
        <f t="shared" si="41"/>
        <v>909984.09884747851</v>
      </c>
      <c r="BW129" s="115"/>
      <c r="BX129" s="116">
        <f t="shared" si="34"/>
        <v>1410475.3532135917</v>
      </c>
      <c r="BY129" s="116">
        <v>400000</v>
      </c>
      <c r="BZ129" s="116"/>
      <c r="CA129" s="116"/>
      <c r="CB129" s="116"/>
      <c r="CC129" s="116"/>
      <c r="CD129" s="116">
        <v>400000</v>
      </c>
      <c r="CE129" s="116"/>
      <c r="CF129" s="116"/>
      <c r="CG129" s="116"/>
      <c r="CH129" s="116"/>
      <c r="CI129" s="116"/>
      <c r="CJ129" s="116"/>
      <c r="CK129" s="116">
        <v>0</v>
      </c>
      <c r="CL129" s="116">
        <v>400000</v>
      </c>
      <c r="CM129" s="117"/>
      <c r="CN129" s="118" t="s">
        <v>95</v>
      </c>
    </row>
    <row r="130" spans="1:93" s="118" customFormat="1" ht="25.5" x14ac:dyDescent="0.2">
      <c r="B130" s="99">
        <f t="shared" si="36"/>
        <v>122</v>
      </c>
      <c r="C130" s="100" t="s">
        <v>286</v>
      </c>
      <c r="D130" s="101" t="s">
        <v>287</v>
      </c>
      <c r="E130" s="100" t="s">
        <v>161</v>
      </c>
      <c r="F130" s="100" t="s">
        <v>96</v>
      </c>
      <c r="G130" s="103">
        <v>43525</v>
      </c>
      <c r="H130" s="218" t="s">
        <v>171</v>
      </c>
      <c r="I130" s="104">
        <v>1000000</v>
      </c>
      <c r="J130" s="105">
        <v>7.7499999999999999E-2</v>
      </c>
      <c r="K130" s="105">
        <v>7.4999999999999997E-2</v>
      </c>
      <c r="L130" s="106">
        <v>0.9</v>
      </c>
      <c r="M130" s="107">
        <v>9</v>
      </c>
      <c r="N130" s="107"/>
      <c r="O130" s="106">
        <v>12</v>
      </c>
      <c r="P130" s="107">
        <f t="shared" si="54"/>
        <v>52312.5</v>
      </c>
      <c r="Q130" s="107">
        <f t="shared" si="46"/>
        <v>606656.06589831901</v>
      </c>
      <c r="R130" s="107">
        <f t="shared" si="47"/>
        <v>31735.695447305814</v>
      </c>
      <c r="S130" s="107">
        <f t="shared" si="48"/>
        <v>20576.804552694186</v>
      </c>
      <c r="T130" s="108">
        <v>0.606656065898319</v>
      </c>
      <c r="U130" s="107"/>
      <c r="V130" s="106"/>
      <c r="W130" s="107">
        <f t="shared" si="42"/>
        <v>606656.06589831901</v>
      </c>
      <c r="X130" s="107">
        <f t="shared" si="42"/>
        <v>31735.695447305814</v>
      </c>
      <c r="Y130" s="109">
        <f t="shared" si="43"/>
        <v>606656.06589831901</v>
      </c>
      <c r="Z130" s="109">
        <f t="shared" si="43"/>
        <v>31735.695447305814</v>
      </c>
      <c r="AA130" s="137"/>
      <c r="AB130" s="137"/>
      <c r="AC130" s="109">
        <f t="shared" si="49"/>
        <v>31735.695447305814</v>
      </c>
      <c r="AD130" s="110">
        <v>0</v>
      </c>
      <c r="AE130" s="110">
        <f t="shared" si="27"/>
        <v>606656.06589831901</v>
      </c>
      <c r="AF130" s="110"/>
      <c r="AG130" s="111">
        <v>-31735.7</v>
      </c>
      <c r="AH130" s="111"/>
      <c r="AI130" s="111"/>
      <c r="AJ130" s="111"/>
      <c r="AK130" s="111"/>
      <c r="AL130" s="111">
        <f t="shared" si="44"/>
        <v>-4.5526941867137793E-3</v>
      </c>
      <c r="AM130" s="111"/>
      <c r="AN130" s="111"/>
      <c r="AO130" s="111"/>
      <c r="AP130" s="111">
        <f t="shared" si="39"/>
        <v>-4.5526941867137793E-3</v>
      </c>
      <c r="AQ130" s="111"/>
      <c r="AR130" s="111">
        <f t="shared" si="32"/>
        <v>-4.5526941867137793E-3</v>
      </c>
      <c r="AS130" s="111"/>
      <c r="AT130" s="111">
        <v>0</v>
      </c>
      <c r="AU130" s="111"/>
      <c r="AV130" s="111"/>
      <c r="AW130" s="111"/>
      <c r="AX130" s="111"/>
      <c r="AY130" s="111"/>
      <c r="AZ130" s="111"/>
      <c r="BA130" s="111">
        <f t="shared" si="33"/>
        <v>0</v>
      </c>
      <c r="BB130" s="111"/>
      <c r="BC130" s="111"/>
      <c r="BD130" s="111"/>
      <c r="BE130" s="111"/>
      <c r="BF130" s="111"/>
      <c r="BG130" s="111"/>
      <c r="BH130" s="111">
        <f t="shared" si="35"/>
        <v>0</v>
      </c>
      <c r="BI130" s="111"/>
      <c r="BJ130" s="112">
        <f t="shared" si="30"/>
        <v>682488.07413560885</v>
      </c>
      <c r="BK130" s="112"/>
      <c r="BL130" s="133">
        <v>-682488.07</v>
      </c>
      <c r="BM130" s="113"/>
      <c r="BN130" s="113"/>
      <c r="BO130" s="113"/>
      <c r="BP130" s="113"/>
      <c r="BQ130" s="114">
        <f t="shared" si="45"/>
        <v>4.1356089059263468E-3</v>
      </c>
      <c r="BR130" s="114">
        <f t="shared" si="40"/>
        <v>-0.11189417355978568</v>
      </c>
      <c r="BS130" s="98"/>
      <c r="BT130" s="98"/>
      <c r="BU130" s="98"/>
      <c r="BV130" s="115">
        <f t="shared" si="41"/>
        <v>-0.13054320248641663</v>
      </c>
      <c r="BW130" s="115"/>
      <c r="BX130" s="116">
        <f t="shared" si="34"/>
        <v>-0.20234196385394576</v>
      </c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>
        <v>0</v>
      </c>
      <c r="CL130" s="116"/>
      <c r="CM130" s="117"/>
    </row>
    <row r="131" spans="1:93" s="118" customFormat="1" ht="25.5" x14ac:dyDescent="0.2">
      <c r="A131" s="118">
        <f>A129+1</f>
        <v>66</v>
      </c>
      <c r="B131" s="99">
        <f t="shared" si="36"/>
        <v>123</v>
      </c>
      <c r="C131" s="100" t="s">
        <v>288</v>
      </c>
      <c r="D131" s="101" t="s">
        <v>289</v>
      </c>
      <c r="E131" s="100" t="s">
        <v>95</v>
      </c>
      <c r="F131" s="100" t="s">
        <v>96</v>
      </c>
      <c r="G131" s="103">
        <v>43525</v>
      </c>
      <c r="H131" s="103" t="s">
        <v>158</v>
      </c>
      <c r="I131" s="104">
        <v>1000000</v>
      </c>
      <c r="J131" s="105">
        <v>7.7499999999999999E-2</v>
      </c>
      <c r="K131" s="105">
        <v>7.4999999999999997E-2</v>
      </c>
      <c r="L131" s="106">
        <v>0.9</v>
      </c>
      <c r="M131" s="107">
        <v>9</v>
      </c>
      <c r="N131" s="107">
        <v>4</v>
      </c>
      <c r="O131" s="106">
        <v>12</v>
      </c>
      <c r="P131" s="107">
        <f t="shared" si="54"/>
        <v>52312.5</v>
      </c>
      <c r="Q131" s="107">
        <f t="shared" si="46"/>
        <v>606656.06589831901</v>
      </c>
      <c r="R131" s="107">
        <f t="shared" si="47"/>
        <v>31735.695447305814</v>
      </c>
      <c r="S131" s="107">
        <f t="shared" si="48"/>
        <v>20576.804552694186</v>
      </c>
      <c r="T131" s="108">
        <v>0.606656065898319</v>
      </c>
      <c r="U131" s="107"/>
      <c r="V131" s="106"/>
      <c r="W131" s="107">
        <f t="shared" si="42"/>
        <v>606656.06589831901</v>
      </c>
      <c r="X131" s="107">
        <f t="shared" si="42"/>
        <v>31735.695447305814</v>
      </c>
      <c r="Y131" s="109">
        <f t="shared" si="43"/>
        <v>606656.06589831901</v>
      </c>
      <c r="Z131" s="109">
        <f t="shared" si="43"/>
        <v>31735.695447305814</v>
      </c>
      <c r="AA131" s="109"/>
      <c r="AB131" s="109"/>
      <c r="AC131" s="109">
        <f t="shared" si="49"/>
        <v>31735.695447305814</v>
      </c>
      <c r="AD131" s="110">
        <v>545990.45930848713</v>
      </c>
      <c r="AE131" s="110">
        <f t="shared" si="27"/>
        <v>606656.06589831901</v>
      </c>
      <c r="AF131" s="110"/>
      <c r="AG131" s="111"/>
      <c r="AH131" s="111"/>
      <c r="AI131" s="111"/>
      <c r="AJ131" s="111"/>
      <c r="AK131" s="111"/>
      <c r="AL131" s="111">
        <f t="shared" si="44"/>
        <v>31735.695447305814</v>
      </c>
      <c r="AM131" s="111"/>
      <c r="AN131" s="278">
        <v>58372.15</v>
      </c>
      <c r="AO131" s="279"/>
      <c r="AP131" s="111">
        <f t="shared" si="39"/>
        <v>-26636.454552694187</v>
      </c>
      <c r="AQ131" s="111"/>
      <c r="AR131" s="111">
        <f t="shared" si="32"/>
        <v>-26636.454552694187</v>
      </c>
      <c r="AS131" s="111"/>
      <c r="AT131" s="111">
        <v>0</v>
      </c>
      <c r="AU131" s="111">
        <f t="shared" ref="AU131:AU166" si="57">AR131-AT131</f>
        <v>-26636.454552694187</v>
      </c>
      <c r="AV131" s="111"/>
      <c r="AW131" s="111"/>
      <c r="AX131" s="111"/>
      <c r="AY131" s="111">
        <v>0</v>
      </c>
      <c r="AZ131" s="111"/>
      <c r="BA131" s="111">
        <f t="shared" si="33"/>
        <v>0</v>
      </c>
      <c r="BB131" s="111"/>
      <c r="BC131" s="111"/>
      <c r="BD131" s="111"/>
      <c r="BE131" s="111"/>
      <c r="BF131" s="111"/>
      <c r="BG131" s="111"/>
      <c r="BH131" s="111">
        <f t="shared" si="35"/>
        <v>0</v>
      </c>
      <c r="BI131" s="111"/>
      <c r="BJ131" s="112">
        <f t="shared" si="30"/>
        <v>682488.07413560885</v>
      </c>
      <c r="BK131" s="112"/>
      <c r="BL131" s="112"/>
      <c r="BM131" s="113"/>
      <c r="BN131" s="113"/>
      <c r="BO131" s="113"/>
      <c r="BP131" s="113"/>
      <c r="BQ131" s="114">
        <f t="shared" si="45"/>
        <v>682488.07413560885</v>
      </c>
      <c r="BR131" s="114">
        <f t="shared" si="40"/>
        <v>779986.3704406959</v>
      </c>
      <c r="BS131" s="98"/>
      <c r="BT131" s="270">
        <v>2000000</v>
      </c>
      <c r="BU131" s="98"/>
      <c r="BV131" s="115">
        <f t="shared" si="41"/>
        <v>-763769.30617044261</v>
      </c>
      <c r="BW131" s="115"/>
      <c r="BX131" s="116">
        <f t="shared" si="34"/>
        <v>-1183842.424564186</v>
      </c>
      <c r="BY131" s="116"/>
      <c r="BZ131" s="116"/>
      <c r="CA131" s="116"/>
      <c r="CB131" s="116"/>
      <c r="CC131" s="116"/>
      <c r="CD131" s="116">
        <v>0</v>
      </c>
      <c r="CE131" s="116"/>
      <c r="CF131" s="116"/>
      <c r="CG131" s="116"/>
      <c r="CH131" s="116"/>
      <c r="CI131" s="116"/>
      <c r="CJ131" s="116"/>
      <c r="CK131" s="116">
        <v>0</v>
      </c>
      <c r="CL131" s="116"/>
      <c r="CM131" s="217" t="s">
        <v>290</v>
      </c>
      <c r="CN131" s="118" t="s">
        <v>95</v>
      </c>
    </row>
    <row r="132" spans="1:93" s="118" customFormat="1" ht="38.25" x14ac:dyDescent="0.2">
      <c r="A132" s="118">
        <f>A131+1</f>
        <v>67</v>
      </c>
      <c r="B132" s="99">
        <f t="shared" si="36"/>
        <v>124</v>
      </c>
      <c r="C132" s="100" t="s">
        <v>291</v>
      </c>
      <c r="D132" s="101" t="s">
        <v>292</v>
      </c>
      <c r="E132" s="100" t="s">
        <v>293</v>
      </c>
      <c r="F132" s="100" t="s">
        <v>96</v>
      </c>
      <c r="G132" s="103">
        <v>43525</v>
      </c>
      <c r="H132" s="103" t="s">
        <v>294</v>
      </c>
      <c r="I132" s="104">
        <v>10000000</v>
      </c>
      <c r="J132" s="105">
        <v>7.7499999999999999E-2</v>
      </c>
      <c r="K132" s="105">
        <v>7.4999999999999997E-2</v>
      </c>
      <c r="L132" s="106">
        <v>0.9</v>
      </c>
      <c r="M132" s="107">
        <v>9</v>
      </c>
      <c r="N132" s="107">
        <v>3</v>
      </c>
      <c r="O132" s="106">
        <v>12</v>
      </c>
      <c r="P132" s="107">
        <f t="shared" si="54"/>
        <v>523125</v>
      </c>
      <c r="Q132" s="107">
        <f t="shared" si="46"/>
        <v>6066560.6589831896</v>
      </c>
      <c r="R132" s="107">
        <f t="shared" si="47"/>
        <v>317356.95447305811</v>
      </c>
      <c r="S132" s="107">
        <f t="shared" si="48"/>
        <v>205768.04552694189</v>
      </c>
      <c r="T132" s="108">
        <v>0.606656065898319</v>
      </c>
      <c r="U132" s="107"/>
      <c r="V132" s="106"/>
      <c r="W132" s="107">
        <f t="shared" si="42"/>
        <v>6066560.6589831896</v>
      </c>
      <c r="X132" s="107">
        <f t="shared" si="42"/>
        <v>317356.95447305811</v>
      </c>
      <c r="Y132" s="109">
        <f t="shared" si="43"/>
        <v>6066560.6589831896</v>
      </c>
      <c r="Z132" s="109">
        <f t="shared" si="43"/>
        <v>317356.95447305811</v>
      </c>
      <c r="AA132" s="109"/>
      <c r="AB132" s="109"/>
      <c r="AC132" s="109">
        <f t="shared" si="49"/>
        <v>317356.95447305811</v>
      </c>
      <c r="AD132" s="110">
        <v>6551885.5117018456</v>
      </c>
      <c r="AE132" s="110">
        <f t="shared" si="27"/>
        <v>6066560.6589831896</v>
      </c>
      <c r="AF132" s="110"/>
      <c r="AG132" s="111"/>
      <c r="AH132" s="111"/>
      <c r="AI132" s="111"/>
      <c r="AJ132" s="111"/>
      <c r="AK132" s="111"/>
      <c r="AL132" s="111">
        <f t="shared" si="44"/>
        <v>317356.95447305811</v>
      </c>
      <c r="AM132" s="111"/>
      <c r="AN132" s="111"/>
      <c r="AO132" s="111"/>
      <c r="AP132" s="111">
        <f>BV132*7.75%*0.9*6/12</f>
        <v>139500</v>
      </c>
      <c r="AQ132" s="111">
        <v>112500</v>
      </c>
      <c r="AR132" s="111">
        <f t="shared" si="32"/>
        <v>27000</v>
      </c>
      <c r="AS132" s="111"/>
      <c r="AT132" s="111">
        <f>BY132*K132*L132*N132/O132</f>
        <v>67500</v>
      </c>
      <c r="AU132" s="111">
        <f t="shared" si="57"/>
        <v>-40500</v>
      </c>
      <c r="AV132" s="111"/>
      <c r="AW132" s="111"/>
      <c r="AX132" s="111"/>
      <c r="AY132" s="111">
        <v>67500</v>
      </c>
      <c r="AZ132" s="111">
        <v>87000</v>
      </c>
      <c r="BA132" s="111">
        <f t="shared" si="33"/>
        <v>-19500</v>
      </c>
      <c r="BB132" s="111"/>
      <c r="BC132" s="111"/>
      <c r="BD132" s="111"/>
      <c r="BE132" s="111"/>
      <c r="BF132" s="111"/>
      <c r="BG132" s="111"/>
      <c r="BH132" s="111">
        <f t="shared" si="35"/>
        <v>-19500</v>
      </c>
      <c r="BI132" s="111"/>
      <c r="BJ132" s="112">
        <f t="shared" si="30"/>
        <v>6824880.7413560878</v>
      </c>
      <c r="BK132" s="112"/>
      <c r="BL132" s="112"/>
      <c r="BM132" s="113"/>
      <c r="BN132" s="113"/>
      <c r="BO132" s="113"/>
      <c r="BP132" s="113"/>
      <c r="BQ132" s="114">
        <f t="shared" si="45"/>
        <v>6824880.7413560878</v>
      </c>
      <c r="BR132" s="114">
        <f t="shared" si="40"/>
        <v>7799863.7044069581</v>
      </c>
      <c r="BS132" s="98"/>
      <c r="BT132" s="98"/>
      <c r="BU132" s="98"/>
      <c r="BV132" s="115">
        <v>4000000</v>
      </c>
      <c r="BW132" s="115">
        <v>4000000</v>
      </c>
      <c r="BX132" s="116">
        <f t="shared" si="34"/>
        <v>1200000</v>
      </c>
      <c r="BY132" s="116">
        <v>4000000</v>
      </c>
      <c r="BZ132" s="116"/>
      <c r="CA132" s="116"/>
      <c r="CB132" s="116"/>
      <c r="CC132" s="116">
        <v>4000000</v>
      </c>
      <c r="CD132" s="116">
        <v>4000000</v>
      </c>
      <c r="CE132" s="116"/>
      <c r="CF132" s="116"/>
      <c r="CG132" s="116"/>
      <c r="CH132" s="116"/>
      <c r="CI132" s="116"/>
      <c r="CJ132" s="116"/>
      <c r="CK132" s="116">
        <v>0</v>
      </c>
      <c r="CL132" s="116"/>
      <c r="CM132" s="117" t="s">
        <v>295</v>
      </c>
      <c r="CN132" s="99" t="s">
        <v>109</v>
      </c>
    </row>
    <row r="133" spans="1:93" s="2" customFormat="1" ht="27" customHeight="1" x14ac:dyDescent="0.2">
      <c r="B133" s="145">
        <f t="shared" si="36"/>
        <v>125</v>
      </c>
      <c r="C133" s="148" t="s">
        <v>291</v>
      </c>
      <c r="D133" s="164" t="s">
        <v>292</v>
      </c>
      <c r="E133" s="148" t="s">
        <v>161</v>
      </c>
      <c r="F133" s="148" t="s">
        <v>96</v>
      </c>
      <c r="G133" s="149">
        <v>43525</v>
      </c>
      <c r="H133" s="149" t="s">
        <v>124</v>
      </c>
      <c r="I133" s="150">
        <v>2000000</v>
      </c>
      <c r="J133" s="151">
        <v>7.7499999999999999E-2</v>
      </c>
      <c r="K133" s="151">
        <v>7.2499999999999995E-2</v>
      </c>
      <c r="L133" s="152">
        <v>0.9</v>
      </c>
      <c r="M133" s="153">
        <v>9</v>
      </c>
      <c r="N133" s="153">
        <v>2</v>
      </c>
      <c r="O133" s="152">
        <v>12</v>
      </c>
      <c r="P133" s="153">
        <f t="shared" si="54"/>
        <v>104625</v>
      </c>
      <c r="Q133" s="153">
        <f t="shared" si="46"/>
        <v>1213312.131796638</v>
      </c>
      <c r="R133" s="153">
        <f t="shared" si="47"/>
        <v>63471.390894611628</v>
      </c>
      <c r="S133" s="153">
        <f t="shared" si="48"/>
        <v>41153.609105388372</v>
      </c>
      <c r="T133" s="154">
        <v>0.606656065898319</v>
      </c>
      <c r="U133" s="153"/>
      <c r="V133" s="152"/>
      <c r="W133" s="153">
        <f t="shared" si="42"/>
        <v>1213312.131796638</v>
      </c>
      <c r="X133" s="153">
        <f t="shared" si="42"/>
        <v>63471.390894611628</v>
      </c>
      <c r="Y133" s="155">
        <f t="shared" si="43"/>
        <v>1213312.131796638</v>
      </c>
      <c r="Z133" s="155">
        <f t="shared" si="43"/>
        <v>63471.390894611628</v>
      </c>
      <c r="AA133" s="169"/>
      <c r="AB133" s="169"/>
      <c r="AC133" s="155">
        <f t="shared" si="49"/>
        <v>63471.390894611628</v>
      </c>
      <c r="AD133" s="156">
        <v>0</v>
      </c>
      <c r="AE133" s="156">
        <f t="shared" si="27"/>
        <v>1213312.131796638</v>
      </c>
      <c r="AF133" s="156"/>
      <c r="AG133" s="83"/>
      <c r="AH133" s="83"/>
      <c r="AI133" s="83"/>
      <c r="AJ133" s="83"/>
      <c r="AK133" s="83"/>
      <c r="AL133" s="83">
        <f t="shared" si="44"/>
        <v>63471.390894611628</v>
      </c>
      <c r="AM133" s="83"/>
      <c r="AN133" s="83"/>
      <c r="AO133" s="83"/>
      <c r="AP133" s="83">
        <f>AL133-AM133-AN133-AO133+177856.95</f>
        <v>241328.34089461164</v>
      </c>
      <c r="AQ133" s="83"/>
      <c r="AR133" s="83">
        <f t="shared" si="32"/>
        <v>241328.34089461164</v>
      </c>
      <c r="AS133" s="83"/>
      <c r="AT133" s="83">
        <f>BY133*K133*L133*N133/O133</f>
        <v>43500</v>
      </c>
      <c r="AU133" s="83">
        <f t="shared" si="57"/>
        <v>197828.34089461164</v>
      </c>
      <c r="AV133" s="83"/>
      <c r="AW133" s="83"/>
      <c r="AX133" s="83"/>
      <c r="AY133" s="83">
        <v>45000</v>
      </c>
      <c r="AZ133" s="83"/>
      <c r="BA133" s="83">
        <f t="shared" si="33"/>
        <v>45000</v>
      </c>
      <c r="BB133" s="83"/>
      <c r="BC133" s="83"/>
      <c r="BD133" s="83"/>
      <c r="BE133" s="83"/>
      <c r="BF133" s="83"/>
      <c r="BG133" s="83"/>
      <c r="BH133" s="83">
        <f t="shared" si="35"/>
        <v>45000</v>
      </c>
      <c r="BI133" s="83">
        <f>CK133*K133*L133*N133/O133</f>
        <v>43500</v>
      </c>
      <c r="BJ133" s="159">
        <f t="shared" si="30"/>
        <v>1364976.1482712177</v>
      </c>
      <c r="BK133" s="159"/>
      <c r="BL133" s="159"/>
      <c r="BM133" s="89"/>
      <c r="BN133" s="89"/>
      <c r="BO133" s="89"/>
      <c r="BP133" s="89"/>
      <c r="BQ133" s="160">
        <f t="shared" si="45"/>
        <v>1364976.1482712177</v>
      </c>
      <c r="BR133" s="160">
        <f t="shared" si="40"/>
        <v>1559972.7408813918</v>
      </c>
      <c r="BS133" s="161"/>
      <c r="BT133" s="161"/>
      <c r="BU133" s="161"/>
      <c r="BV133" s="162">
        <f t="shared" si="41"/>
        <v>6919809.0579100102</v>
      </c>
      <c r="BW133" s="162"/>
      <c r="BX133" s="95">
        <f t="shared" si="34"/>
        <v>11095555.903200537</v>
      </c>
      <c r="BY133" s="95">
        <v>4000000</v>
      </c>
      <c r="BZ133" s="95"/>
      <c r="CA133" s="95"/>
      <c r="CB133" s="95"/>
      <c r="CC133" s="95"/>
      <c r="CD133" s="95">
        <v>4000000</v>
      </c>
      <c r="CE133" s="95"/>
      <c r="CF133" s="95"/>
      <c r="CG133" s="95"/>
      <c r="CH133" s="95"/>
      <c r="CI133" s="95"/>
      <c r="CJ133" s="95"/>
      <c r="CK133" s="95">
        <v>4000000</v>
      </c>
      <c r="CL133" s="95">
        <v>8000000</v>
      </c>
      <c r="CM133" s="163" t="s">
        <v>135</v>
      </c>
      <c r="CN133" s="145" t="s">
        <v>109</v>
      </c>
    </row>
    <row r="134" spans="1:93" s="120" customFormat="1" ht="25.5" x14ac:dyDescent="0.2">
      <c r="A134" s="120">
        <f>A132+1</f>
        <v>68</v>
      </c>
      <c r="B134" s="99">
        <f t="shared" si="36"/>
        <v>126</v>
      </c>
      <c r="C134" s="122" t="s">
        <v>296</v>
      </c>
      <c r="D134" s="123" t="s">
        <v>297</v>
      </c>
      <c r="E134" s="122" t="s">
        <v>95</v>
      </c>
      <c r="F134" s="100" t="s">
        <v>96</v>
      </c>
      <c r="G134" s="124">
        <v>43586</v>
      </c>
      <c r="H134" s="124">
        <v>43586</v>
      </c>
      <c r="I134" s="125">
        <v>1500000</v>
      </c>
      <c r="J134" s="126">
        <v>7.7499999999999999E-2</v>
      </c>
      <c r="K134" s="105">
        <v>7.4999999999999997E-2</v>
      </c>
      <c r="L134" s="127">
        <v>0.9</v>
      </c>
      <c r="M134" s="128">
        <v>7</v>
      </c>
      <c r="N134" s="128"/>
      <c r="O134" s="127">
        <v>12</v>
      </c>
      <c r="P134" s="128">
        <f t="shared" si="54"/>
        <v>61031.25</v>
      </c>
      <c r="Q134" s="128">
        <f t="shared" si="46"/>
        <v>909984.09884747851</v>
      </c>
      <c r="R134" s="128">
        <f t="shared" si="47"/>
        <v>37024.978021856783</v>
      </c>
      <c r="S134" s="128">
        <f t="shared" si="48"/>
        <v>24006.271978143217</v>
      </c>
      <c r="T134" s="129">
        <v>0.606656065898319</v>
      </c>
      <c r="U134" s="128"/>
      <c r="V134" s="127"/>
      <c r="W134" s="128">
        <f t="shared" si="42"/>
        <v>909984.09884747851</v>
      </c>
      <c r="X134" s="128">
        <f t="shared" si="42"/>
        <v>37024.978021856783</v>
      </c>
      <c r="Y134" s="130">
        <f t="shared" si="43"/>
        <v>909984.09884747851</v>
      </c>
      <c r="Z134" s="130">
        <f t="shared" si="43"/>
        <v>37024.978021856783</v>
      </c>
      <c r="AA134" s="130">
        <f>58125-AA135-AA136</f>
        <v>37024.980000000003</v>
      </c>
      <c r="AB134" s="130"/>
      <c r="AC134" s="130">
        <f t="shared" si="49"/>
        <v>-1.9781432201853022E-3</v>
      </c>
      <c r="AD134" s="131">
        <v>304310.54168138606</v>
      </c>
      <c r="AE134" s="131">
        <f t="shared" si="27"/>
        <v>-3.7813968366744131E-2</v>
      </c>
      <c r="AF134" s="131"/>
      <c r="AG134" s="132"/>
      <c r="AH134" s="132"/>
      <c r="AI134" s="132"/>
      <c r="AJ134" s="132"/>
      <c r="AK134" s="132"/>
      <c r="AL134" s="111">
        <f t="shared" si="44"/>
        <v>-1.9781432201853022E-3</v>
      </c>
      <c r="AM134" s="111"/>
      <c r="AN134" s="111"/>
      <c r="AO134" s="111"/>
      <c r="AP134" s="111">
        <f t="shared" si="39"/>
        <v>-1.9781432201853022E-3</v>
      </c>
      <c r="AQ134" s="111"/>
      <c r="AR134" s="111">
        <f t="shared" si="32"/>
        <v>-1.9781432201853022E-3</v>
      </c>
      <c r="AS134" s="111"/>
      <c r="AT134" s="111">
        <v>0</v>
      </c>
      <c r="AU134" s="111">
        <f t="shared" si="57"/>
        <v>-1.9781432201853022E-3</v>
      </c>
      <c r="AV134" s="111"/>
      <c r="AW134" s="111"/>
      <c r="AX134" s="111"/>
      <c r="AY134" s="111"/>
      <c r="AZ134" s="111"/>
      <c r="BA134" s="111">
        <f t="shared" si="33"/>
        <v>0</v>
      </c>
      <c r="BB134" s="111"/>
      <c r="BC134" s="111"/>
      <c r="BD134" s="111"/>
      <c r="BE134" s="111"/>
      <c r="BF134" s="111"/>
      <c r="BG134" s="111"/>
      <c r="BH134" s="111">
        <f t="shared" si="35"/>
        <v>0</v>
      </c>
      <c r="BI134" s="111"/>
      <c r="BJ134" s="133">
        <f t="shared" si="30"/>
        <v>-4.2540714412587145E-2</v>
      </c>
      <c r="BK134" s="134"/>
      <c r="BL134" s="134"/>
      <c r="BM134" s="135"/>
      <c r="BN134" s="135"/>
      <c r="BO134" s="135"/>
      <c r="BP134" s="135"/>
      <c r="BQ134" s="114">
        <f t="shared" si="45"/>
        <v>-4.2540714412587145E-2</v>
      </c>
      <c r="BR134" s="114">
        <f t="shared" si="40"/>
        <v>-4.8617959328671023E-2</v>
      </c>
      <c r="BS134" s="136"/>
      <c r="BT134" s="136"/>
      <c r="BU134" s="136"/>
      <c r="BV134" s="115">
        <f t="shared" si="41"/>
        <v>-5.6720952550116194E-2</v>
      </c>
      <c r="BW134" s="115"/>
      <c r="BX134" s="116">
        <f t="shared" si="34"/>
        <v>-8.791747645268011E-2</v>
      </c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9"/>
    </row>
    <row r="135" spans="1:93" s="2" customFormat="1" ht="27.75" customHeight="1" x14ac:dyDescent="0.2">
      <c r="B135" s="145">
        <f t="shared" si="36"/>
        <v>127</v>
      </c>
      <c r="C135" s="148" t="s">
        <v>296</v>
      </c>
      <c r="D135" s="164" t="s">
        <v>297</v>
      </c>
      <c r="E135" s="148" t="s">
        <v>161</v>
      </c>
      <c r="F135" s="148" t="s">
        <v>96</v>
      </c>
      <c r="G135" s="149">
        <v>43617</v>
      </c>
      <c r="H135" s="149" t="s">
        <v>124</v>
      </c>
      <c r="I135" s="150">
        <v>1500000</v>
      </c>
      <c r="J135" s="151">
        <v>7.7499999999999999E-2</v>
      </c>
      <c r="K135" s="151">
        <v>7.2499999999999995E-2</v>
      </c>
      <c r="L135" s="152">
        <v>0.9</v>
      </c>
      <c r="M135" s="153">
        <v>6</v>
      </c>
      <c r="N135" s="153">
        <v>2</v>
      </c>
      <c r="O135" s="152">
        <v>12</v>
      </c>
      <c r="P135" s="153">
        <f t="shared" si="54"/>
        <v>52312.5</v>
      </c>
      <c r="Q135" s="153">
        <f t="shared" si="46"/>
        <v>909984.09884747851</v>
      </c>
      <c r="R135" s="153">
        <f t="shared" si="47"/>
        <v>31735.695447305814</v>
      </c>
      <c r="S135" s="153">
        <f t="shared" si="48"/>
        <v>20576.804552694186</v>
      </c>
      <c r="T135" s="154">
        <v>0.606656065898319</v>
      </c>
      <c r="U135" s="153"/>
      <c r="V135" s="152"/>
      <c r="W135" s="153">
        <f t="shared" si="42"/>
        <v>909984.09884747851</v>
      </c>
      <c r="X135" s="153">
        <f t="shared" si="42"/>
        <v>31735.695447305814</v>
      </c>
      <c r="Y135" s="155">
        <f t="shared" si="43"/>
        <v>909984.09884747851</v>
      </c>
      <c r="Z135" s="155">
        <f t="shared" si="43"/>
        <v>31735.695447305814</v>
      </c>
      <c r="AA135" s="169">
        <v>14047.64</v>
      </c>
      <c r="AB135" s="169"/>
      <c r="AC135" s="155">
        <f t="shared" si="49"/>
        <v>17688.055447305815</v>
      </c>
      <c r="AD135" s="156">
        <v>0</v>
      </c>
      <c r="AE135" s="156">
        <f t="shared" si="27"/>
        <v>338122.92372388655</v>
      </c>
      <c r="AF135" s="156"/>
      <c r="AG135" s="83"/>
      <c r="AH135" s="83"/>
      <c r="AI135" s="83"/>
      <c r="AJ135" s="83"/>
      <c r="AK135" s="83"/>
      <c r="AL135" s="83">
        <f t="shared" si="44"/>
        <v>17688.055447305815</v>
      </c>
      <c r="AM135" s="83"/>
      <c r="AN135" s="83"/>
      <c r="AO135" s="83"/>
      <c r="AP135" s="83">
        <f t="shared" si="39"/>
        <v>17688.055447305815</v>
      </c>
      <c r="AQ135" s="83"/>
      <c r="AR135" s="83">
        <f t="shared" si="32"/>
        <v>17688.055447305815</v>
      </c>
      <c r="AS135" s="83"/>
      <c r="AT135" s="83">
        <v>0</v>
      </c>
      <c r="AU135" s="83">
        <f t="shared" si="57"/>
        <v>17688.055447305815</v>
      </c>
      <c r="AV135" s="83"/>
      <c r="AW135" s="83"/>
      <c r="AX135" s="83"/>
      <c r="AY135" s="83"/>
      <c r="AZ135" s="83"/>
      <c r="BA135" s="83">
        <f t="shared" si="33"/>
        <v>0</v>
      </c>
      <c r="BB135" s="83"/>
      <c r="BC135" s="83"/>
      <c r="BD135" s="83"/>
      <c r="BE135" s="83"/>
      <c r="BF135" s="83"/>
      <c r="BG135" s="83"/>
      <c r="BH135" s="83">
        <f t="shared" si="35"/>
        <v>0</v>
      </c>
      <c r="BI135" s="83">
        <f>CK135*K135*L135*N135/O135</f>
        <v>32624.999999999996</v>
      </c>
      <c r="BJ135" s="159">
        <f t="shared" si="30"/>
        <v>380388.28918937233</v>
      </c>
      <c r="BK135" s="159"/>
      <c r="BL135" s="159"/>
      <c r="BM135" s="89"/>
      <c r="BN135" s="89"/>
      <c r="BO135" s="89"/>
      <c r="BP135" s="89"/>
      <c r="BQ135" s="160">
        <f t="shared" si="45"/>
        <v>380388.28918937233</v>
      </c>
      <c r="BR135" s="160">
        <f t="shared" si="40"/>
        <v>434729.47335928265</v>
      </c>
      <c r="BS135" s="161"/>
      <c r="BT135" s="161"/>
      <c r="BU135" s="161"/>
      <c r="BV135" s="162">
        <f t="shared" si="41"/>
        <v>507184.38558582985</v>
      </c>
      <c r="BW135" s="162"/>
      <c r="BX135" s="95">
        <f t="shared" si="34"/>
        <v>813243.92861176166</v>
      </c>
      <c r="BY135" s="95">
        <f>AT135/K135/L135/N135*O135</f>
        <v>0</v>
      </c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>
        <v>3000000</v>
      </c>
      <c r="CL135" s="95">
        <v>3000000</v>
      </c>
      <c r="CM135" s="170" t="s">
        <v>298</v>
      </c>
      <c r="CN135" s="145" t="s">
        <v>109</v>
      </c>
      <c r="CO135" s="170" t="s">
        <v>299</v>
      </c>
    </row>
    <row r="136" spans="1:93" s="120" customFormat="1" ht="25.5" x14ac:dyDescent="0.2">
      <c r="B136" s="99">
        <f t="shared" si="36"/>
        <v>128</v>
      </c>
      <c r="C136" s="122" t="s">
        <v>296</v>
      </c>
      <c r="D136" s="123" t="s">
        <v>300</v>
      </c>
      <c r="E136" s="122" t="s">
        <v>95</v>
      </c>
      <c r="F136" s="100" t="s">
        <v>96</v>
      </c>
      <c r="G136" s="124">
        <v>43739</v>
      </c>
      <c r="H136" s="124">
        <v>43739</v>
      </c>
      <c r="I136" s="125">
        <v>1000000</v>
      </c>
      <c r="J136" s="126">
        <v>7.7499999999999999E-2</v>
      </c>
      <c r="K136" s="105">
        <v>7.4999999999999997E-2</v>
      </c>
      <c r="L136" s="127">
        <v>0.9</v>
      </c>
      <c r="M136" s="128">
        <v>2</v>
      </c>
      <c r="N136" s="128"/>
      <c r="O136" s="127">
        <v>12</v>
      </c>
      <c r="P136" s="128">
        <f t="shared" si="54"/>
        <v>11625</v>
      </c>
      <c r="Q136" s="128">
        <f t="shared" si="46"/>
        <v>606656.06589831901</v>
      </c>
      <c r="R136" s="128">
        <f t="shared" si="47"/>
        <v>7052.3767660679587</v>
      </c>
      <c r="S136" s="128">
        <f t="shared" si="48"/>
        <v>4572.6232339320413</v>
      </c>
      <c r="T136" s="129">
        <v>0.606656065898319</v>
      </c>
      <c r="U136" s="128"/>
      <c r="V136" s="127"/>
      <c r="W136" s="128">
        <f t="shared" si="42"/>
        <v>606656.06589831901</v>
      </c>
      <c r="X136" s="128">
        <f t="shared" si="42"/>
        <v>7052.3767660679587</v>
      </c>
      <c r="Y136" s="130">
        <f t="shared" si="43"/>
        <v>606656.06589831901</v>
      </c>
      <c r="Z136" s="130">
        <f t="shared" si="43"/>
        <v>7052.3767660679587</v>
      </c>
      <c r="AA136" s="138">
        <v>7052.38</v>
      </c>
      <c r="AB136" s="138"/>
      <c r="AC136" s="130">
        <f t="shared" si="49"/>
        <v>-3.2339320414394024E-3</v>
      </c>
      <c r="AD136" s="131">
        <v>0</v>
      </c>
      <c r="AE136" s="131">
        <f t="shared" si="27"/>
        <v>-6.1819489442091327E-2</v>
      </c>
      <c r="AF136" s="131"/>
      <c r="AG136" s="132"/>
      <c r="AH136" s="132"/>
      <c r="AI136" s="132"/>
      <c r="AJ136" s="132"/>
      <c r="AK136" s="132"/>
      <c r="AL136" s="111">
        <f t="shared" si="44"/>
        <v>-3.2339320414394024E-3</v>
      </c>
      <c r="AM136" s="111"/>
      <c r="AN136" s="111"/>
      <c r="AO136" s="111"/>
      <c r="AP136" s="111">
        <f t="shared" si="39"/>
        <v>-3.2339320414394024E-3</v>
      </c>
      <c r="AQ136" s="111"/>
      <c r="AR136" s="111">
        <f t="shared" si="32"/>
        <v>-3.2339320414394024E-3</v>
      </c>
      <c r="AS136" s="111"/>
      <c r="AT136" s="111">
        <v>0</v>
      </c>
      <c r="AU136" s="111">
        <f t="shared" si="57"/>
        <v>-3.2339320414394024E-3</v>
      </c>
      <c r="AV136" s="111"/>
      <c r="AW136" s="111"/>
      <c r="AX136" s="111"/>
      <c r="AY136" s="111"/>
      <c r="AZ136" s="111"/>
      <c r="BA136" s="85">
        <f t="shared" si="33"/>
        <v>0</v>
      </c>
      <c r="BB136" s="85"/>
      <c r="BC136" s="85"/>
      <c r="BD136" s="85"/>
      <c r="BE136" s="85"/>
      <c r="BF136" s="85"/>
      <c r="BG136" s="85"/>
      <c r="BH136" s="111">
        <f t="shared" si="35"/>
        <v>0</v>
      </c>
      <c r="BI136" s="111"/>
      <c r="BJ136" s="133">
        <f t="shared" si="30"/>
        <v>-6.9546925622352734E-2</v>
      </c>
      <c r="BK136" s="134"/>
      <c r="BL136" s="134"/>
      <c r="BM136" s="135"/>
      <c r="BN136" s="135"/>
      <c r="BO136" s="135"/>
      <c r="BP136" s="135"/>
      <c r="BQ136" s="114">
        <f t="shared" si="45"/>
        <v>-6.9546925622352734E-2</v>
      </c>
      <c r="BR136" s="114">
        <f t="shared" si="40"/>
        <v>-7.9482200711260276E-2</v>
      </c>
      <c r="BS136" s="136"/>
      <c r="BT136" s="136"/>
      <c r="BU136" s="136"/>
      <c r="BV136" s="115">
        <f t="shared" si="41"/>
        <v>-9.2729234163136984E-2</v>
      </c>
      <c r="BW136" s="115"/>
      <c r="BX136" s="116">
        <f t="shared" si="34"/>
        <v>-0.14373031295286234</v>
      </c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>
        <v>0</v>
      </c>
      <c r="CL136" s="116"/>
      <c r="CM136" s="119"/>
    </row>
    <row r="137" spans="1:93" s="120" customFormat="1" ht="25.5" x14ac:dyDescent="0.2">
      <c r="A137" s="120">
        <f>A134+1</f>
        <v>69</v>
      </c>
      <c r="B137" s="99">
        <f t="shared" si="36"/>
        <v>129</v>
      </c>
      <c r="C137" s="122" t="s">
        <v>301</v>
      </c>
      <c r="D137" s="123" t="s">
        <v>302</v>
      </c>
      <c r="E137" s="122" t="s">
        <v>95</v>
      </c>
      <c r="F137" s="100" t="s">
        <v>96</v>
      </c>
      <c r="G137" s="124">
        <v>43525</v>
      </c>
      <c r="H137" s="124">
        <v>43525</v>
      </c>
      <c r="I137" s="125">
        <v>1500000</v>
      </c>
      <c r="J137" s="126">
        <v>7.7499999999999999E-2</v>
      </c>
      <c r="K137" s="105">
        <v>7.4999999999999997E-2</v>
      </c>
      <c r="L137" s="127">
        <v>0.9</v>
      </c>
      <c r="M137" s="128">
        <v>9</v>
      </c>
      <c r="N137" s="128"/>
      <c r="O137" s="127">
        <v>12</v>
      </c>
      <c r="P137" s="128">
        <f t="shared" si="54"/>
        <v>78468.75</v>
      </c>
      <c r="Q137" s="128">
        <f t="shared" si="46"/>
        <v>909984.09884747851</v>
      </c>
      <c r="R137" s="128">
        <f t="shared" si="47"/>
        <v>47603.543170958721</v>
      </c>
      <c r="S137" s="128">
        <f t="shared" si="48"/>
        <v>30865.206829041279</v>
      </c>
      <c r="T137" s="129">
        <v>0.606656065898319</v>
      </c>
      <c r="U137" s="172">
        <v>1200000</v>
      </c>
      <c r="V137" s="141">
        <f>69750-V138</f>
        <v>47603.54</v>
      </c>
      <c r="W137" s="128">
        <f t="shared" si="42"/>
        <v>-290015.90115252149</v>
      </c>
      <c r="X137" s="128">
        <f t="shared" si="42"/>
        <v>3.1709587201476097E-3</v>
      </c>
      <c r="Y137" s="130">
        <f t="shared" si="43"/>
        <v>-290015.90115252149</v>
      </c>
      <c r="Z137" s="130">
        <f t="shared" si="43"/>
        <v>3.1709587201476097E-3</v>
      </c>
      <c r="AA137" s="130"/>
      <c r="AB137" s="130"/>
      <c r="AC137" s="130">
        <f t="shared" si="49"/>
        <v>3.1709587201476097E-3</v>
      </c>
      <c r="AD137" s="131">
        <v>73977.738386469893</v>
      </c>
      <c r="AE137" s="131">
        <f t="shared" ref="AE137:AE223" si="58">AC137/J137/L137/9*O137</f>
        <v>6.0615698354076167E-2</v>
      </c>
      <c r="AF137" s="131"/>
      <c r="AG137" s="132"/>
      <c r="AH137" s="132"/>
      <c r="AI137" s="132"/>
      <c r="AJ137" s="132"/>
      <c r="AK137" s="132"/>
      <c r="AL137" s="111">
        <f t="shared" si="44"/>
        <v>3.1709587201476097E-3</v>
      </c>
      <c r="AM137" s="111"/>
      <c r="AN137" s="111"/>
      <c r="AO137" s="111"/>
      <c r="AP137" s="111">
        <f t="shared" si="39"/>
        <v>3.1709587201476097E-3</v>
      </c>
      <c r="AQ137" s="111"/>
      <c r="AR137" s="111">
        <f t="shared" si="32"/>
        <v>3.1709587201476097E-3</v>
      </c>
      <c r="AS137" s="111"/>
      <c r="AT137" s="111">
        <v>0</v>
      </c>
      <c r="AU137" s="111">
        <f t="shared" si="57"/>
        <v>3.1709587201476097E-3</v>
      </c>
      <c r="AV137" s="111"/>
      <c r="AW137" s="111"/>
      <c r="AX137" s="111"/>
      <c r="AY137" s="111"/>
      <c r="AZ137" s="111"/>
      <c r="BA137" s="85">
        <f t="shared" ref="BA137:BA201" si="59">AY137-AZ137</f>
        <v>0</v>
      </c>
      <c r="BB137" s="85"/>
      <c r="BC137" s="85"/>
      <c r="BD137" s="85"/>
      <c r="BE137" s="85"/>
      <c r="BF137" s="85"/>
      <c r="BG137" s="85"/>
      <c r="BH137" s="111">
        <f t="shared" ref="BH137:BH199" si="60">BA137-BB137-BC137-BD137-BE137-BF137-BG137</f>
        <v>0</v>
      </c>
      <c r="BI137" s="111"/>
      <c r="BJ137" s="112">
        <f t="shared" si="30"/>
        <v>6.8192660648335679E-2</v>
      </c>
      <c r="BK137" s="134"/>
      <c r="BL137" s="134"/>
      <c r="BM137" s="135"/>
      <c r="BN137" s="135"/>
      <c r="BO137" s="135"/>
      <c r="BP137" s="135"/>
      <c r="BQ137" s="114">
        <f t="shared" si="45"/>
        <v>6.8192660648335679E-2</v>
      </c>
      <c r="BR137" s="114">
        <f t="shared" si="40"/>
        <v>7.7934469312383639E-2</v>
      </c>
      <c r="BS137" s="136"/>
      <c r="BT137" s="136"/>
      <c r="BU137" s="136"/>
      <c r="BV137" s="115">
        <f t="shared" si="41"/>
        <v>9.0923547531114243E-2</v>
      </c>
      <c r="BW137" s="115"/>
      <c r="BX137" s="116">
        <f t="shared" si="34"/>
        <v>0.1409314986732271</v>
      </c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>
        <v>0</v>
      </c>
      <c r="CL137" s="116"/>
      <c r="CM137" s="119"/>
    </row>
    <row r="138" spans="1:93" s="118" customFormat="1" ht="25.5" x14ac:dyDescent="0.2">
      <c r="B138" s="99">
        <f t="shared" ref="B138:B201" si="61">B137+1</f>
        <v>130</v>
      </c>
      <c r="C138" s="100" t="s">
        <v>301</v>
      </c>
      <c r="D138" s="101" t="s">
        <v>302</v>
      </c>
      <c r="E138" s="100" t="s">
        <v>95</v>
      </c>
      <c r="F138" s="100" t="s">
        <v>96</v>
      </c>
      <c r="G138" s="103">
        <v>43647</v>
      </c>
      <c r="H138" s="103">
        <v>43647</v>
      </c>
      <c r="I138" s="104">
        <v>1500000</v>
      </c>
      <c r="J138" s="105">
        <v>7.7499999999999999E-2</v>
      </c>
      <c r="K138" s="105">
        <v>7.4999999999999997E-2</v>
      </c>
      <c r="L138" s="106">
        <v>0.9</v>
      </c>
      <c r="M138" s="107">
        <v>5</v>
      </c>
      <c r="N138" s="107">
        <v>3</v>
      </c>
      <c r="O138" s="106">
        <v>12</v>
      </c>
      <c r="P138" s="107">
        <f t="shared" si="54"/>
        <v>43593.75</v>
      </c>
      <c r="Q138" s="107">
        <f t="shared" si="46"/>
        <v>909984.09884747851</v>
      </c>
      <c r="R138" s="107">
        <f t="shared" si="47"/>
        <v>26446.412872754841</v>
      </c>
      <c r="S138" s="107">
        <f t="shared" si="48"/>
        <v>17147.337127245159</v>
      </c>
      <c r="T138" s="108">
        <v>0.606656065898319</v>
      </c>
      <c r="U138" s="107"/>
      <c r="V138" s="106">
        <v>22146.46</v>
      </c>
      <c r="W138" s="107">
        <f t="shared" si="42"/>
        <v>909984.09884747851</v>
      </c>
      <c r="X138" s="107">
        <f t="shared" si="42"/>
        <v>4299.9528727548422</v>
      </c>
      <c r="Y138" s="109">
        <f t="shared" si="43"/>
        <v>909984.09884747851</v>
      </c>
      <c r="Z138" s="109">
        <f t="shared" si="43"/>
        <v>4299.9528727548422</v>
      </c>
      <c r="AA138" s="137"/>
      <c r="AB138" s="137"/>
      <c r="AC138" s="109">
        <f t="shared" si="49"/>
        <v>4299.9528727548422</v>
      </c>
      <c r="AD138" s="110">
        <v>0</v>
      </c>
      <c r="AE138" s="110">
        <f t="shared" si="58"/>
        <v>82197.42648037929</v>
      </c>
      <c r="AF138" s="110"/>
      <c r="AG138" s="111"/>
      <c r="AH138" s="111"/>
      <c r="AI138" s="111"/>
      <c r="AJ138" s="111"/>
      <c r="AK138" s="111"/>
      <c r="AL138" s="111">
        <f t="shared" si="44"/>
        <v>4299.9528727548422</v>
      </c>
      <c r="AM138" s="111"/>
      <c r="AN138" s="111"/>
      <c r="AO138" s="111"/>
      <c r="AP138" s="111">
        <f t="shared" si="39"/>
        <v>4299.9528727548422</v>
      </c>
      <c r="AQ138" s="111"/>
      <c r="AR138" s="111">
        <f t="shared" ref="AR138:AR202" si="62">AP138-AQ138</f>
        <v>4299.9528727548422</v>
      </c>
      <c r="AS138" s="111">
        <v>-4299.95</v>
      </c>
      <c r="AT138" s="111">
        <v>0</v>
      </c>
      <c r="AU138" s="111">
        <f t="shared" si="57"/>
        <v>4299.9528727548422</v>
      </c>
      <c r="AV138" s="111"/>
      <c r="AW138" s="111"/>
      <c r="AX138" s="111"/>
      <c r="AY138" s="111">
        <v>0</v>
      </c>
      <c r="AZ138" s="111"/>
      <c r="BA138" s="85">
        <f t="shared" si="59"/>
        <v>0</v>
      </c>
      <c r="BB138" s="85"/>
      <c r="BC138" s="85"/>
      <c r="BD138" s="85"/>
      <c r="BE138" s="85"/>
      <c r="BF138" s="85"/>
      <c r="BG138" s="85"/>
      <c r="BH138" s="111">
        <f t="shared" si="60"/>
        <v>0</v>
      </c>
      <c r="BI138" s="111"/>
      <c r="BJ138" s="112">
        <f t="shared" si="30"/>
        <v>92472.104790426703</v>
      </c>
      <c r="BK138" s="112"/>
      <c r="BL138" s="112"/>
      <c r="BM138" s="113"/>
      <c r="BN138" s="113"/>
      <c r="BO138" s="113"/>
      <c r="BP138" s="113"/>
      <c r="BQ138" s="114">
        <f t="shared" si="45"/>
        <v>92472.104790426703</v>
      </c>
      <c r="BR138" s="114">
        <f t="shared" si="40"/>
        <v>105682.40547477338</v>
      </c>
      <c r="BS138" s="98"/>
      <c r="BT138" s="98"/>
      <c r="BU138" s="98"/>
      <c r="BV138" s="115">
        <f t="shared" si="41"/>
        <v>123296.13972056893</v>
      </c>
      <c r="BW138" s="115"/>
      <c r="BX138" s="116">
        <f t="shared" ref="BX138:BX202" si="63">AR138/K138/L138/4*O138</f>
        <v>191109.01656688188</v>
      </c>
      <c r="BY138" s="116">
        <f>AT138/K138/L138/N138*O138</f>
        <v>0</v>
      </c>
      <c r="BZ138" s="116"/>
      <c r="CA138" s="116"/>
      <c r="CB138" s="116"/>
      <c r="CC138" s="116"/>
      <c r="CD138" s="116">
        <v>0</v>
      </c>
      <c r="CE138" s="116"/>
      <c r="CF138" s="116"/>
      <c r="CG138" s="116"/>
      <c r="CH138" s="116"/>
      <c r="CI138" s="116"/>
      <c r="CJ138" s="116"/>
      <c r="CK138" s="116">
        <v>0</v>
      </c>
      <c r="CL138" s="116">
        <v>1500000</v>
      </c>
      <c r="CM138" s="117" t="s">
        <v>303</v>
      </c>
      <c r="CN138" s="118" t="s">
        <v>95</v>
      </c>
    </row>
    <row r="139" spans="1:93" s="2" customFormat="1" ht="38.25" x14ac:dyDescent="0.2">
      <c r="A139" s="2">
        <f>A137+1</f>
        <v>70</v>
      </c>
      <c r="B139" s="145">
        <f t="shared" si="61"/>
        <v>131</v>
      </c>
      <c r="C139" s="148" t="s">
        <v>304</v>
      </c>
      <c r="D139" s="164" t="s">
        <v>305</v>
      </c>
      <c r="E139" s="148" t="s">
        <v>151</v>
      </c>
      <c r="F139" s="148" t="s">
        <v>96</v>
      </c>
      <c r="G139" s="149">
        <v>43497</v>
      </c>
      <c r="H139" s="149" t="s">
        <v>196</v>
      </c>
      <c r="I139" s="150">
        <v>2000000</v>
      </c>
      <c r="J139" s="151">
        <v>7.7499999999999999E-2</v>
      </c>
      <c r="K139" s="151">
        <v>7.2499999999999995E-2</v>
      </c>
      <c r="L139" s="152">
        <v>0.9</v>
      </c>
      <c r="M139" s="153">
        <v>10</v>
      </c>
      <c r="N139" s="153">
        <v>2.5</v>
      </c>
      <c r="O139" s="152">
        <v>12</v>
      </c>
      <c r="P139" s="153">
        <f t="shared" si="54"/>
        <v>116250</v>
      </c>
      <c r="Q139" s="153">
        <f t="shared" si="46"/>
        <v>1213312.131796638</v>
      </c>
      <c r="R139" s="153">
        <f t="shared" si="47"/>
        <v>70523.767660679587</v>
      </c>
      <c r="S139" s="153">
        <f t="shared" si="48"/>
        <v>45726.232339320413</v>
      </c>
      <c r="T139" s="154">
        <v>0.606656065898319</v>
      </c>
      <c r="U139" s="153"/>
      <c r="V139" s="152"/>
      <c r="W139" s="153">
        <f t="shared" si="42"/>
        <v>1213312.131796638</v>
      </c>
      <c r="X139" s="153">
        <f t="shared" si="42"/>
        <v>70523.767660679587</v>
      </c>
      <c r="Y139" s="155">
        <f t="shared" si="43"/>
        <v>1213312.131796638</v>
      </c>
      <c r="Z139" s="155">
        <f t="shared" si="43"/>
        <v>70523.767660679587</v>
      </c>
      <c r="AA139" s="155"/>
      <c r="AB139" s="155"/>
      <c r="AC139" s="155">
        <f t="shared" si="49"/>
        <v>70523.767660679587</v>
      </c>
      <c r="AD139" s="156">
        <v>1213312.131796638</v>
      </c>
      <c r="AE139" s="156">
        <f t="shared" si="58"/>
        <v>1348124.5908851533</v>
      </c>
      <c r="AF139" s="156"/>
      <c r="AG139" s="83"/>
      <c r="AH139" s="83"/>
      <c r="AI139" s="83"/>
      <c r="AJ139" s="83"/>
      <c r="AK139" s="83"/>
      <c r="AL139" s="83">
        <f t="shared" si="44"/>
        <v>70523.767660679587</v>
      </c>
      <c r="AM139" s="83"/>
      <c r="AN139" s="83"/>
      <c r="AO139" s="83"/>
      <c r="AP139" s="83">
        <f t="shared" si="39"/>
        <v>70523.767660679587</v>
      </c>
      <c r="AQ139" s="83"/>
      <c r="AR139" s="83">
        <f t="shared" si="62"/>
        <v>70523.767660679587</v>
      </c>
      <c r="AS139" s="83"/>
      <c r="AT139" s="83">
        <v>45000</v>
      </c>
      <c r="AU139" s="83">
        <f t="shared" si="57"/>
        <v>25523.767660679587</v>
      </c>
      <c r="AV139" s="83"/>
      <c r="AW139" s="83"/>
      <c r="AX139" s="83"/>
      <c r="AY139" s="83">
        <v>45000</v>
      </c>
      <c r="AZ139" s="83"/>
      <c r="BA139" s="83">
        <f t="shared" si="59"/>
        <v>45000</v>
      </c>
      <c r="BB139" s="83"/>
      <c r="BC139" s="83"/>
      <c r="BD139" s="83"/>
      <c r="BE139" s="83"/>
      <c r="BF139" s="83"/>
      <c r="BG139" s="83"/>
      <c r="BH139" s="83">
        <f t="shared" si="60"/>
        <v>45000</v>
      </c>
      <c r="BI139" s="83">
        <f>CK139*K139*L139*N139/O139</f>
        <v>27187.5</v>
      </c>
      <c r="BJ139" s="159">
        <f t="shared" si="30"/>
        <v>1516640.1647457974</v>
      </c>
      <c r="BK139" s="159"/>
      <c r="BL139" s="159"/>
      <c r="BM139" s="89"/>
      <c r="BN139" s="89"/>
      <c r="BO139" s="89"/>
      <c r="BP139" s="89"/>
      <c r="BQ139" s="160">
        <f t="shared" si="45"/>
        <v>1516640.1647457974</v>
      </c>
      <c r="BR139" s="160">
        <f t="shared" si="40"/>
        <v>1733303.0454237687</v>
      </c>
      <c r="BS139" s="161"/>
      <c r="BT139" s="161"/>
      <c r="BU139" s="161"/>
      <c r="BV139" s="162">
        <f t="shared" si="41"/>
        <v>2022186.88632773</v>
      </c>
      <c r="BW139" s="162"/>
      <c r="BX139" s="95">
        <f t="shared" si="63"/>
        <v>3242472.0763530848</v>
      </c>
      <c r="BY139" s="95">
        <v>1000000</v>
      </c>
      <c r="BZ139" s="95"/>
      <c r="CA139" s="95"/>
      <c r="CB139" s="95"/>
      <c r="CC139" s="95"/>
      <c r="CD139" s="95">
        <v>2000000</v>
      </c>
      <c r="CE139" s="95"/>
      <c r="CF139" s="95"/>
      <c r="CG139" s="95"/>
      <c r="CH139" s="95"/>
      <c r="CI139" s="95"/>
      <c r="CJ139" s="95"/>
      <c r="CK139" s="95">
        <v>2000000</v>
      </c>
      <c r="CL139" s="95">
        <v>2000000</v>
      </c>
      <c r="CM139" s="170" t="s">
        <v>306</v>
      </c>
      <c r="CN139" s="148" t="s">
        <v>151</v>
      </c>
    </row>
    <row r="140" spans="1:93" s="118" customFormat="1" ht="38.25" x14ac:dyDescent="0.2">
      <c r="A140" s="118">
        <f>A139+1</f>
        <v>71</v>
      </c>
      <c r="B140" s="99">
        <f t="shared" si="61"/>
        <v>132</v>
      </c>
      <c r="C140" s="100" t="s">
        <v>307</v>
      </c>
      <c r="D140" s="101" t="s">
        <v>308</v>
      </c>
      <c r="E140" s="100" t="s">
        <v>151</v>
      </c>
      <c r="F140" s="100" t="s">
        <v>96</v>
      </c>
      <c r="G140" s="103">
        <v>43497</v>
      </c>
      <c r="H140" s="103" t="s">
        <v>196</v>
      </c>
      <c r="I140" s="104">
        <v>5000000</v>
      </c>
      <c r="J140" s="105">
        <v>7.7499999999999999E-2</v>
      </c>
      <c r="K140" s="105">
        <v>7.4999999999999997E-2</v>
      </c>
      <c r="L140" s="106">
        <v>0.9</v>
      </c>
      <c r="M140" s="107">
        <v>10</v>
      </c>
      <c r="N140" s="107">
        <v>4</v>
      </c>
      <c r="O140" s="106">
        <v>12</v>
      </c>
      <c r="P140" s="107">
        <f t="shared" si="54"/>
        <v>290625</v>
      </c>
      <c r="Q140" s="107">
        <f t="shared" si="46"/>
        <v>3033280.3294915948</v>
      </c>
      <c r="R140" s="107">
        <f t="shared" si="47"/>
        <v>176309.41915169894</v>
      </c>
      <c r="S140" s="107">
        <f t="shared" si="48"/>
        <v>114315.58084830106</v>
      </c>
      <c r="T140" s="108">
        <v>0.606656065898319</v>
      </c>
      <c r="U140" s="107"/>
      <c r="V140" s="106"/>
      <c r="W140" s="107">
        <f t="shared" si="42"/>
        <v>3033280.3294915948</v>
      </c>
      <c r="X140" s="107">
        <f t="shared" si="42"/>
        <v>176309.41915169894</v>
      </c>
      <c r="Y140" s="109">
        <f t="shared" si="43"/>
        <v>3033280.3294915948</v>
      </c>
      <c r="Z140" s="109">
        <f t="shared" si="43"/>
        <v>176309.41915169894</v>
      </c>
      <c r="AA140" s="109"/>
      <c r="AB140" s="109"/>
      <c r="AC140" s="109">
        <f t="shared" si="49"/>
        <v>176309.41915169894</v>
      </c>
      <c r="AD140" s="110">
        <v>3033280.3294915948</v>
      </c>
      <c r="AE140" s="110">
        <f t="shared" si="58"/>
        <v>3370311.4772128826</v>
      </c>
      <c r="AF140" s="110"/>
      <c r="AG140" s="111"/>
      <c r="AH140" s="111"/>
      <c r="AI140" s="111"/>
      <c r="AJ140" s="111"/>
      <c r="AK140" s="111"/>
      <c r="AL140" s="111">
        <f t="shared" si="44"/>
        <v>176309.41915169894</v>
      </c>
      <c r="AM140" s="111"/>
      <c r="AN140" s="111"/>
      <c r="AO140" s="111"/>
      <c r="AP140" s="111">
        <f t="shared" si="39"/>
        <v>176309.41915169894</v>
      </c>
      <c r="AQ140" s="111"/>
      <c r="AR140" s="111">
        <f t="shared" si="62"/>
        <v>176309.41915169894</v>
      </c>
      <c r="AS140" s="111"/>
      <c r="AT140" s="111">
        <f>BY140*K140*L140*N140/O140</f>
        <v>45000</v>
      </c>
      <c r="AU140" s="111">
        <f t="shared" si="57"/>
        <v>131309.41915169894</v>
      </c>
      <c r="AV140" s="111"/>
      <c r="AW140" s="111"/>
      <c r="AX140" s="111"/>
      <c r="AY140" s="111">
        <v>45000</v>
      </c>
      <c r="AZ140" s="111">
        <v>41831.51</v>
      </c>
      <c r="BA140" s="111">
        <f t="shared" si="59"/>
        <v>3168.489999999998</v>
      </c>
      <c r="BB140" s="111"/>
      <c r="BC140" s="111"/>
      <c r="BD140" s="111"/>
      <c r="BE140" s="111"/>
      <c r="BF140" s="111"/>
      <c r="BG140" s="111"/>
      <c r="BH140" s="111">
        <f t="shared" si="60"/>
        <v>3168.489999999998</v>
      </c>
      <c r="BI140" s="111">
        <v>0</v>
      </c>
      <c r="BJ140" s="112">
        <f t="shared" si="30"/>
        <v>3791600.411864493</v>
      </c>
      <c r="BK140" s="112"/>
      <c r="BL140" s="112"/>
      <c r="BM140" s="113"/>
      <c r="BN140" s="113"/>
      <c r="BO140" s="113"/>
      <c r="BP140" s="113"/>
      <c r="BQ140" s="114">
        <f t="shared" si="45"/>
        <v>3791600.411864493</v>
      </c>
      <c r="BR140" s="114">
        <f t="shared" si="40"/>
        <v>4333257.6135594212</v>
      </c>
      <c r="BS140" s="98"/>
      <c r="BT140" s="98"/>
      <c r="BU140" s="98"/>
      <c r="BV140" s="115">
        <f t="shared" si="41"/>
        <v>5055467.2158193244</v>
      </c>
      <c r="BW140" s="115"/>
      <c r="BX140" s="116">
        <f t="shared" si="63"/>
        <v>7835974.1845199531</v>
      </c>
      <c r="BY140" s="116">
        <v>2000000</v>
      </c>
      <c r="BZ140" s="116"/>
      <c r="CA140" s="116"/>
      <c r="CB140" s="116"/>
      <c r="CC140" s="116">
        <v>2000000</v>
      </c>
      <c r="CD140" s="116">
        <v>2000000</v>
      </c>
      <c r="CE140" s="116"/>
      <c r="CF140" s="116"/>
      <c r="CG140" s="116"/>
      <c r="CH140" s="116"/>
      <c r="CI140" s="116"/>
      <c r="CJ140" s="116"/>
      <c r="CK140" s="116">
        <v>0</v>
      </c>
      <c r="CL140" s="116">
        <v>5000000</v>
      </c>
      <c r="CM140" s="217" t="s">
        <v>309</v>
      </c>
      <c r="CN140" s="100" t="s">
        <v>151</v>
      </c>
    </row>
    <row r="141" spans="1:93" s="120" customFormat="1" ht="25.5" x14ac:dyDescent="0.2">
      <c r="A141" s="118">
        <f>A140+1</f>
        <v>72</v>
      </c>
      <c r="B141" s="99">
        <f t="shared" si="61"/>
        <v>133</v>
      </c>
      <c r="C141" s="122" t="s">
        <v>310</v>
      </c>
      <c r="D141" s="123" t="s">
        <v>311</v>
      </c>
      <c r="E141" s="122" t="s">
        <v>95</v>
      </c>
      <c r="F141" s="100" t="s">
        <v>134</v>
      </c>
      <c r="G141" s="124">
        <v>43497</v>
      </c>
      <c r="H141" s="124">
        <v>43497</v>
      </c>
      <c r="I141" s="125">
        <v>10000000</v>
      </c>
      <c r="J141" s="126">
        <v>7.7499999999999999E-2</v>
      </c>
      <c r="K141" s="105">
        <v>7.4999999999999997E-2</v>
      </c>
      <c r="L141" s="127">
        <v>0.9</v>
      </c>
      <c r="M141" s="128">
        <v>10</v>
      </c>
      <c r="N141" s="128"/>
      <c r="O141" s="127">
        <v>12</v>
      </c>
      <c r="P141" s="128">
        <f t="shared" si="54"/>
        <v>581250</v>
      </c>
      <c r="Q141" s="128">
        <f t="shared" si="46"/>
        <v>6066560.6589831896</v>
      </c>
      <c r="R141" s="128">
        <f t="shared" si="47"/>
        <v>352618.83830339788</v>
      </c>
      <c r="S141" s="128">
        <f t="shared" si="48"/>
        <v>228631.16169660212</v>
      </c>
      <c r="T141" s="129">
        <v>0.606656065898319</v>
      </c>
      <c r="U141" s="128"/>
      <c r="V141" s="127"/>
      <c r="W141" s="128">
        <f t="shared" si="42"/>
        <v>6066560.6589831896</v>
      </c>
      <c r="X141" s="128">
        <f t="shared" si="42"/>
        <v>352618.83830339788</v>
      </c>
      <c r="Y141" s="130">
        <f t="shared" si="43"/>
        <v>6066560.6589831896</v>
      </c>
      <c r="Z141" s="130">
        <f t="shared" si="43"/>
        <v>352618.83830339788</v>
      </c>
      <c r="AA141" s="130">
        <f>493655.63-AA142-AA143</f>
        <v>352608.08999999997</v>
      </c>
      <c r="AB141" s="130"/>
      <c r="AC141" s="130">
        <f t="shared" si="49"/>
        <v>10.748303397907875</v>
      </c>
      <c r="AD141" s="131">
        <v>184.92257646657526</v>
      </c>
      <c r="AE141" s="131">
        <f t="shared" si="58"/>
        <v>205.46338633993548</v>
      </c>
      <c r="AF141" s="131"/>
      <c r="AG141" s="132"/>
      <c r="AH141" s="132"/>
      <c r="AI141" s="132"/>
      <c r="AJ141" s="132"/>
      <c r="AK141" s="132"/>
      <c r="AL141" s="111">
        <f t="shared" si="44"/>
        <v>10.748303397907875</v>
      </c>
      <c r="AM141" s="111"/>
      <c r="AN141" s="111"/>
      <c r="AO141" s="111"/>
      <c r="AP141" s="111">
        <f t="shared" si="39"/>
        <v>10.748303397907875</v>
      </c>
      <c r="AQ141" s="111"/>
      <c r="AR141" s="111">
        <f t="shared" si="62"/>
        <v>10.748303397907875</v>
      </c>
      <c r="AS141" s="111"/>
      <c r="AT141" s="111">
        <v>0</v>
      </c>
      <c r="AU141" s="111">
        <f t="shared" si="57"/>
        <v>10.748303397907875</v>
      </c>
      <c r="AV141" s="111"/>
      <c r="AW141" s="111"/>
      <c r="AX141" s="111"/>
      <c r="AY141" s="111"/>
      <c r="AZ141" s="111"/>
      <c r="BA141" s="111">
        <f t="shared" si="59"/>
        <v>0</v>
      </c>
      <c r="BB141" s="111"/>
      <c r="BC141" s="111"/>
      <c r="BD141" s="111"/>
      <c r="BE141" s="111"/>
      <c r="BF141" s="111"/>
      <c r="BG141" s="111"/>
      <c r="BH141" s="111">
        <f t="shared" si="60"/>
        <v>0</v>
      </c>
      <c r="BI141" s="111"/>
      <c r="BJ141" s="112">
        <f t="shared" si="30"/>
        <v>231.1463096324274</v>
      </c>
      <c r="BK141" s="134"/>
      <c r="BL141" s="134"/>
      <c r="BM141" s="135"/>
      <c r="BN141" s="135"/>
      <c r="BO141" s="135"/>
      <c r="BP141" s="135"/>
      <c r="BQ141" s="114">
        <f t="shared" si="45"/>
        <v>231.1463096324274</v>
      </c>
      <c r="BR141" s="114">
        <f t="shared" si="40"/>
        <v>264.16721100848849</v>
      </c>
      <c r="BS141" s="136"/>
      <c r="BT141" s="136"/>
      <c r="BU141" s="136"/>
      <c r="BV141" s="115">
        <f t="shared" si="41"/>
        <v>308.19507950990322</v>
      </c>
      <c r="BW141" s="115"/>
      <c r="BX141" s="116">
        <f t="shared" si="63"/>
        <v>477.70237324035008</v>
      </c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>
        <v>0</v>
      </c>
      <c r="CL141" s="116"/>
      <c r="CM141" s="119"/>
    </row>
    <row r="142" spans="1:93" s="120" customFormat="1" ht="25.5" x14ac:dyDescent="0.2">
      <c r="B142" s="99">
        <f t="shared" si="61"/>
        <v>134</v>
      </c>
      <c r="C142" s="122" t="s">
        <v>310</v>
      </c>
      <c r="D142" s="123" t="s">
        <v>311</v>
      </c>
      <c r="E142" s="122" t="s">
        <v>95</v>
      </c>
      <c r="F142" s="100" t="s">
        <v>134</v>
      </c>
      <c r="G142" s="124">
        <v>43739</v>
      </c>
      <c r="H142" s="124">
        <v>43739</v>
      </c>
      <c r="I142" s="125">
        <v>10000000</v>
      </c>
      <c r="J142" s="126">
        <v>7.7499999999999999E-2</v>
      </c>
      <c r="K142" s="105">
        <v>7.4999999999999997E-2</v>
      </c>
      <c r="L142" s="127">
        <v>0.9</v>
      </c>
      <c r="M142" s="128">
        <v>2</v>
      </c>
      <c r="N142" s="128"/>
      <c r="O142" s="127">
        <v>12</v>
      </c>
      <c r="P142" s="128">
        <f t="shared" si="54"/>
        <v>116250</v>
      </c>
      <c r="Q142" s="128">
        <f t="shared" si="46"/>
        <v>6066560.6589831896</v>
      </c>
      <c r="R142" s="128">
        <f t="shared" si="47"/>
        <v>70523.767660679572</v>
      </c>
      <c r="S142" s="128">
        <f t="shared" si="48"/>
        <v>45726.232339320428</v>
      </c>
      <c r="T142" s="129">
        <v>0.606656065898319</v>
      </c>
      <c r="U142" s="128"/>
      <c r="V142" s="127"/>
      <c r="W142" s="128">
        <f t="shared" si="42"/>
        <v>6066560.6589831896</v>
      </c>
      <c r="X142" s="128">
        <f t="shared" si="42"/>
        <v>70523.767660679572</v>
      </c>
      <c r="Y142" s="130">
        <f t="shared" si="43"/>
        <v>6066560.6589831896</v>
      </c>
      <c r="Z142" s="130">
        <f t="shared" si="43"/>
        <v>70523.767660679572</v>
      </c>
      <c r="AA142" s="138">
        <v>70523.77</v>
      </c>
      <c r="AB142" s="138"/>
      <c r="AC142" s="130">
        <f t="shared" si="49"/>
        <v>-2.3393204319290817E-3</v>
      </c>
      <c r="AD142" s="131">
        <v>0</v>
      </c>
      <c r="AE142" s="131">
        <f t="shared" si="58"/>
        <v>-4.4718192247150901E-2</v>
      </c>
      <c r="AF142" s="131"/>
      <c r="AG142" s="132"/>
      <c r="AH142" s="132"/>
      <c r="AI142" s="132"/>
      <c r="AJ142" s="132"/>
      <c r="AK142" s="132"/>
      <c r="AL142" s="111">
        <f t="shared" si="44"/>
        <v>-2.3393204319290817E-3</v>
      </c>
      <c r="AM142" s="111"/>
      <c r="AN142" s="111"/>
      <c r="AO142" s="111"/>
      <c r="AP142" s="111">
        <f t="shared" si="39"/>
        <v>-2.3393204319290817E-3</v>
      </c>
      <c r="AQ142" s="111"/>
      <c r="AR142" s="111">
        <f t="shared" si="62"/>
        <v>-2.3393204319290817E-3</v>
      </c>
      <c r="AS142" s="111"/>
      <c r="AT142" s="111">
        <v>0</v>
      </c>
      <c r="AU142" s="111">
        <f t="shared" si="57"/>
        <v>-2.3393204319290817E-3</v>
      </c>
      <c r="AV142" s="111"/>
      <c r="AW142" s="111"/>
      <c r="AX142" s="111"/>
      <c r="AY142" s="111"/>
      <c r="AZ142" s="111"/>
      <c r="BA142" s="111">
        <f t="shared" si="59"/>
        <v>0</v>
      </c>
      <c r="BB142" s="111"/>
      <c r="BC142" s="111"/>
      <c r="BD142" s="111"/>
      <c r="BE142" s="111"/>
      <c r="BF142" s="111"/>
      <c r="BG142" s="111"/>
      <c r="BH142" s="111">
        <f t="shared" si="60"/>
        <v>0</v>
      </c>
      <c r="BI142" s="111"/>
      <c r="BJ142" s="133">
        <f t="shared" si="30"/>
        <v>-5.0307966278044763E-2</v>
      </c>
      <c r="BK142" s="134"/>
      <c r="BL142" s="134"/>
      <c r="BM142" s="135"/>
      <c r="BN142" s="135"/>
      <c r="BO142" s="135"/>
      <c r="BP142" s="135"/>
      <c r="BQ142" s="114">
        <f t="shared" si="45"/>
        <v>-5.0307966278044763E-2</v>
      </c>
      <c r="BR142" s="114">
        <f t="shared" si="40"/>
        <v>-5.7494818603479728E-2</v>
      </c>
      <c r="BS142" s="136"/>
      <c r="BT142" s="136"/>
      <c r="BU142" s="136"/>
      <c r="BV142" s="115">
        <f t="shared" si="41"/>
        <v>-6.7077288370726351E-2</v>
      </c>
      <c r="BW142" s="115"/>
      <c r="BX142" s="116">
        <f t="shared" si="63"/>
        <v>-0.10396979697462586</v>
      </c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>
        <v>0</v>
      </c>
      <c r="CL142" s="116"/>
      <c r="CM142" s="119"/>
    </row>
    <row r="143" spans="1:93" s="120" customFormat="1" ht="25.5" x14ac:dyDescent="0.2">
      <c r="B143" s="99">
        <f t="shared" si="61"/>
        <v>135</v>
      </c>
      <c r="C143" s="122" t="s">
        <v>310</v>
      </c>
      <c r="D143" s="123" t="s">
        <v>311</v>
      </c>
      <c r="E143" s="122" t="s">
        <v>161</v>
      </c>
      <c r="F143" s="100" t="s">
        <v>134</v>
      </c>
      <c r="G143" s="124">
        <v>43739</v>
      </c>
      <c r="H143" s="124">
        <v>43739</v>
      </c>
      <c r="I143" s="125">
        <v>10000000</v>
      </c>
      <c r="J143" s="126">
        <v>7.7499999999999999E-2</v>
      </c>
      <c r="K143" s="105">
        <v>7.4999999999999997E-2</v>
      </c>
      <c r="L143" s="127">
        <v>0.9</v>
      </c>
      <c r="M143" s="128">
        <v>2</v>
      </c>
      <c r="N143" s="128"/>
      <c r="O143" s="127">
        <v>12</v>
      </c>
      <c r="P143" s="128">
        <f t="shared" si="54"/>
        <v>116250</v>
      </c>
      <c r="Q143" s="128">
        <f t="shared" si="46"/>
        <v>6066560.6589831896</v>
      </c>
      <c r="R143" s="128">
        <f t="shared" si="47"/>
        <v>70523.767660679572</v>
      </c>
      <c r="S143" s="128">
        <f t="shared" si="48"/>
        <v>45726.232339320428</v>
      </c>
      <c r="T143" s="129">
        <v>0.606656065898319</v>
      </c>
      <c r="U143" s="128"/>
      <c r="V143" s="127"/>
      <c r="W143" s="128">
        <f t="shared" si="42"/>
        <v>6066560.6589831896</v>
      </c>
      <c r="X143" s="128">
        <f t="shared" si="42"/>
        <v>70523.767660679572</v>
      </c>
      <c r="Y143" s="130">
        <f t="shared" si="43"/>
        <v>6066560.6589831896</v>
      </c>
      <c r="Z143" s="130">
        <f t="shared" si="43"/>
        <v>70523.767660679572</v>
      </c>
      <c r="AA143" s="281">
        <v>70523.77</v>
      </c>
      <c r="AB143" s="281"/>
      <c r="AC143" s="130">
        <f t="shared" si="49"/>
        <v>-2.3393204319290817E-3</v>
      </c>
      <c r="AD143" s="131">
        <v>0</v>
      </c>
      <c r="AE143" s="131">
        <f t="shared" si="58"/>
        <v>-4.4718192247150901E-2</v>
      </c>
      <c r="AF143" s="131"/>
      <c r="AG143" s="132"/>
      <c r="AH143" s="132"/>
      <c r="AI143" s="132"/>
      <c r="AJ143" s="132"/>
      <c r="AK143" s="132"/>
      <c r="AL143" s="111">
        <f t="shared" si="44"/>
        <v>-2.3393204319290817E-3</v>
      </c>
      <c r="AM143" s="111"/>
      <c r="AN143" s="111"/>
      <c r="AO143" s="111"/>
      <c r="AP143" s="111">
        <f t="shared" si="39"/>
        <v>-2.3393204319290817E-3</v>
      </c>
      <c r="AQ143" s="111"/>
      <c r="AR143" s="111">
        <f t="shared" si="62"/>
        <v>-2.3393204319290817E-3</v>
      </c>
      <c r="AS143" s="111"/>
      <c r="AT143" s="111">
        <v>0</v>
      </c>
      <c r="AU143" s="111">
        <f t="shared" si="57"/>
        <v>-2.3393204319290817E-3</v>
      </c>
      <c r="AV143" s="111"/>
      <c r="AW143" s="111"/>
      <c r="AX143" s="111"/>
      <c r="AY143" s="111"/>
      <c r="AZ143" s="111"/>
      <c r="BA143" s="111">
        <f t="shared" si="59"/>
        <v>0</v>
      </c>
      <c r="BB143" s="111"/>
      <c r="BC143" s="111"/>
      <c r="BD143" s="111"/>
      <c r="BE143" s="111"/>
      <c r="BF143" s="111"/>
      <c r="BG143" s="111">
        <v>108750</v>
      </c>
      <c r="BH143" s="111">
        <f t="shared" si="60"/>
        <v>-108750</v>
      </c>
      <c r="BI143" s="111">
        <f>CK143*7.25%*0.9*2/12</f>
        <v>0</v>
      </c>
      <c r="BJ143" s="133">
        <f t="shared" si="30"/>
        <v>-5.0307966278044763E-2</v>
      </c>
      <c r="BK143" s="134"/>
      <c r="BL143" s="134"/>
      <c r="BM143" s="135"/>
      <c r="BN143" s="135"/>
      <c r="BO143" s="135"/>
      <c r="BP143" s="135"/>
      <c r="BQ143" s="114">
        <f t="shared" si="45"/>
        <v>-5.0307966278044763E-2</v>
      </c>
      <c r="BR143" s="114">
        <f t="shared" si="40"/>
        <v>-5.7494818603479728E-2</v>
      </c>
      <c r="BS143" s="136"/>
      <c r="BT143" s="136"/>
      <c r="BU143" s="136"/>
      <c r="BV143" s="115">
        <f t="shared" si="41"/>
        <v>-6.7077288370726351E-2</v>
      </c>
      <c r="BW143" s="115"/>
      <c r="BX143" s="116">
        <f t="shared" si="63"/>
        <v>-0.10396979697462586</v>
      </c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>
        <v>10000000</v>
      </c>
      <c r="CK143" s="116">
        <f>10000000-10000000</f>
        <v>0</v>
      </c>
      <c r="CL143" s="116"/>
      <c r="CM143" s="119"/>
    </row>
    <row r="144" spans="1:93" s="120" customFormat="1" ht="25.5" x14ac:dyDescent="0.2">
      <c r="A144" s="120">
        <f>A141+1</f>
        <v>73</v>
      </c>
      <c r="B144" s="99">
        <f t="shared" si="61"/>
        <v>136</v>
      </c>
      <c r="C144" s="122" t="s">
        <v>312</v>
      </c>
      <c r="D144" s="123" t="s">
        <v>313</v>
      </c>
      <c r="E144" s="122" t="s">
        <v>151</v>
      </c>
      <c r="F144" s="100" t="s">
        <v>96</v>
      </c>
      <c r="G144" s="124">
        <v>43525</v>
      </c>
      <c r="H144" s="298" t="s">
        <v>142</v>
      </c>
      <c r="I144" s="125">
        <v>2000000</v>
      </c>
      <c r="J144" s="126">
        <v>7.7499999999999999E-2</v>
      </c>
      <c r="K144" s="105">
        <v>7.4999999999999997E-2</v>
      </c>
      <c r="L144" s="127">
        <v>0.9</v>
      </c>
      <c r="M144" s="128">
        <v>9</v>
      </c>
      <c r="N144" s="128"/>
      <c r="O144" s="127">
        <v>12</v>
      </c>
      <c r="P144" s="128">
        <f t="shared" si="54"/>
        <v>104625</v>
      </c>
      <c r="Q144" s="128">
        <f t="shared" si="46"/>
        <v>1213312.131796638</v>
      </c>
      <c r="R144" s="128">
        <f t="shared" si="47"/>
        <v>63471.390894611628</v>
      </c>
      <c r="S144" s="128">
        <f t="shared" si="48"/>
        <v>41153.609105388372</v>
      </c>
      <c r="T144" s="129">
        <v>0.606656065898319</v>
      </c>
      <c r="U144" s="128"/>
      <c r="V144" s="127"/>
      <c r="W144" s="128">
        <f t="shared" si="42"/>
        <v>1213312.131796638</v>
      </c>
      <c r="X144" s="128">
        <f t="shared" si="42"/>
        <v>63471.390894611628</v>
      </c>
      <c r="Y144" s="130">
        <f t="shared" si="43"/>
        <v>1213312.131796638</v>
      </c>
      <c r="Z144" s="130">
        <f t="shared" si="43"/>
        <v>63471.390894611628</v>
      </c>
      <c r="AA144" s="281"/>
      <c r="AB144" s="281"/>
      <c r="AC144" s="130">
        <f>Z144-AA144-AB144</f>
        <v>63471.390894611628</v>
      </c>
      <c r="AD144" s="131">
        <v>-1270047.703457565</v>
      </c>
      <c r="AE144" s="131">
        <f t="shared" si="58"/>
        <v>1213312.131796638</v>
      </c>
      <c r="AF144" s="131"/>
      <c r="AG144" s="298"/>
      <c r="AH144" s="132"/>
      <c r="AI144" s="132"/>
      <c r="AJ144" s="132"/>
      <c r="AK144" s="132"/>
      <c r="AL144" s="111">
        <f t="shared" si="44"/>
        <v>63471.390894611628</v>
      </c>
      <c r="AM144" s="111"/>
      <c r="AN144" s="111"/>
      <c r="AO144" s="111"/>
      <c r="AP144" s="111">
        <f t="shared" si="39"/>
        <v>63471.390894611628</v>
      </c>
      <c r="AQ144" s="111"/>
      <c r="AR144" s="111">
        <f t="shared" si="62"/>
        <v>63471.390894611628</v>
      </c>
      <c r="AS144" s="111">
        <v>-63471.39</v>
      </c>
      <c r="AT144" s="111">
        <v>0</v>
      </c>
      <c r="AU144" s="111">
        <f t="shared" si="57"/>
        <v>63471.390894611628</v>
      </c>
      <c r="AV144" s="111"/>
      <c r="AW144" s="111"/>
      <c r="AX144" s="111"/>
      <c r="AY144" s="111">
        <v>0</v>
      </c>
      <c r="AZ144" s="111"/>
      <c r="BA144" s="85">
        <f t="shared" si="59"/>
        <v>0</v>
      </c>
      <c r="BB144" s="85"/>
      <c r="BC144" s="85"/>
      <c r="BD144" s="85"/>
      <c r="BE144" s="85"/>
      <c r="BF144" s="85"/>
      <c r="BG144" s="85"/>
      <c r="BH144" s="111">
        <f t="shared" si="60"/>
        <v>0</v>
      </c>
      <c r="BI144" s="111"/>
      <c r="BJ144" s="112">
        <f t="shared" ref="BJ144:BJ234" si="64">AC144/J144/L144/8*O144</f>
        <v>1364976.1482712177</v>
      </c>
      <c r="BK144" s="134"/>
      <c r="BL144" s="134"/>
      <c r="BM144" s="135"/>
      <c r="BN144" s="135"/>
      <c r="BO144" s="135"/>
      <c r="BP144" s="135"/>
      <c r="BQ144" s="114">
        <f t="shared" si="45"/>
        <v>1364976.1482712177</v>
      </c>
      <c r="BR144" s="114">
        <f t="shared" si="40"/>
        <v>1559972.7408813918</v>
      </c>
      <c r="BS144" s="136"/>
      <c r="BT144" s="136"/>
      <c r="BU144" s="136"/>
      <c r="BV144" s="115">
        <f t="shared" si="41"/>
        <v>1819968.197694957</v>
      </c>
      <c r="BW144" s="115"/>
      <c r="BX144" s="116">
        <f t="shared" si="63"/>
        <v>2820950.7064271835</v>
      </c>
      <c r="BY144" s="116">
        <v>0</v>
      </c>
      <c r="BZ144" s="116"/>
      <c r="CA144" s="116"/>
      <c r="CB144" s="116"/>
      <c r="CC144" s="116"/>
      <c r="CD144" s="116">
        <v>0</v>
      </c>
      <c r="CE144" s="116"/>
      <c r="CF144" s="116"/>
      <c r="CG144" s="116"/>
      <c r="CH144" s="116"/>
      <c r="CI144" s="116"/>
      <c r="CJ144" s="116"/>
      <c r="CK144" s="116">
        <v>0</v>
      </c>
      <c r="CL144" s="116"/>
      <c r="CM144" s="119"/>
    </row>
    <row r="145" spans="1:92" s="120" customFormat="1" ht="25.5" x14ac:dyDescent="0.2">
      <c r="B145" s="99">
        <f t="shared" si="61"/>
        <v>137</v>
      </c>
      <c r="C145" s="122" t="s">
        <v>312</v>
      </c>
      <c r="D145" s="123" t="s">
        <v>313</v>
      </c>
      <c r="E145" s="122" t="s">
        <v>95</v>
      </c>
      <c r="F145" s="100" t="s">
        <v>96</v>
      </c>
      <c r="G145" s="124">
        <v>43525</v>
      </c>
      <c r="H145" s="298" t="s">
        <v>142</v>
      </c>
      <c r="I145" s="125">
        <v>3000000</v>
      </c>
      <c r="J145" s="126">
        <v>7.7499999999999999E-2</v>
      </c>
      <c r="K145" s="105">
        <v>7.4999999999999997E-2</v>
      </c>
      <c r="L145" s="127">
        <v>0.9</v>
      </c>
      <c r="M145" s="128">
        <v>9</v>
      </c>
      <c r="N145" s="128"/>
      <c r="O145" s="127">
        <v>12</v>
      </c>
      <c r="P145" s="128">
        <f t="shared" si="54"/>
        <v>156937.5</v>
      </c>
      <c r="Q145" s="128">
        <f t="shared" si="46"/>
        <v>1819968.197694957</v>
      </c>
      <c r="R145" s="128">
        <f t="shared" si="47"/>
        <v>95207.086341917442</v>
      </c>
      <c r="S145" s="128">
        <f t="shared" si="48"/>
        <v>61730.413658082558</v>
      </c>
      <c r="T145" s="129">
        <v>0.606656065898319</v>
      </c>
      <c r="U145" s="128"/>
      <c r="V145" s="127"/>
      <c r="W145" s="128">
        <f t="shared" si="42"/>
        <v>1819968.197694957</v>
      </c>
      <c r="X145" s="128">
        <f t="shared" si="42"/>
        <v>95207.086341917442</v>
      </c>
      <c r="Y145" s="130">
        <f t="shared" si="43"/>
        <v>1819968.197694957</v>
      </c>
      <c r="Z145" s="130">
        <f t="shared" si="43"/>
        <v>95207.086341917442</v>
      </c>
      <c r="AA145" s="281"/>
      <c r="AB145" s="281"/>
      <c r="AC145" s="130">
        <f t="shared" si="49"/>
        <v>95207.086341917442</v>
      </c>
      <c r="AD145" s="131">
        <v>0</v>
      </c>
      <c r="AE145" s="131">
        <f t="shared" si="58"/>
        <v>1819968.1976949573</v>
      </c>
      <c r="AF145" s="131"/>
      <c r="AG145" s="132"/>
      <c r="AH145" s="132"/>
      <c r="AI145" s="132"/>
      <c r="AJ145" s="132"/>
      <c r="AK145" s="132"/>
      <c r="AL145" s="111">
        <f t="shared" si="44"/>
        <v>95207.086341917442</v>
      </c>
      <c r="AM145" s="111"/>
      <c r="AN145" s="111"/>
      <c r="AO145" s="111"/>
      <c r="AP145" s="111">
        <f t="shared" si="39"/>
        <v>95207.086341917442</v>
      </c>
      <c r="AQ145" s="111"/>
      <c r="AR145" s="111">
        <f t="shared" si="62"/>
        <v>95207.086341917442</v>
      </c>
      <c r="AS145" s="111">
        <v>-95207.09</v>
      </c>
      <c r="AT145" s="111">
        <v>0</v>
      </c>
      <c r="AU145" s="111">
        <f t="shared" si="57"/>
        <v>95207.086341917442</v>
      </c>
      <c r="AV145" s="111"/>
      <c r="AW145" s="111"/>
      <c r="AX145" s="111"/>
      <c r="AY145" s="111">
        <v>0</v>
      </c>
      <c r="AZ145" s="111"/>
      <c r="BA145" s="85">
        <f t="shared" si="59"/>
        <v>0</v>
      </c>
      <c r="BB145" s="85"/>
      <c r="BC145" s="85"/>
      <c r="BD145" s="85"/>
      <c r="BE145" s="85"/>
      <c r="BF145" s="85"/>
      <c r="BG145" s="85"/>
      <c r="BH145" s="111">
        <f t="shared" si="60"/>
        <v>0</v>
      </c>
      <c r="BI145" s="111"/>
      <c r="BJ145" s="112">
        <f t="shared" si="64"/>
        <v>2047464.2224068269</v>
      </c>
      <c r="BK145" s="134"/>
      <c r="BL145" s="134"/>
      <c r="BM145" s="135"/>
      <c r="BN145" s="135"/>
      <c r="BO145" s="135"/>
      <c r="BP145" s="135"/>
      <c r="BQ145" s="114">
        <f t="shared" si="45"/>
        <v>2047464.2224068269</v>
      </c>
      <c r="BR145" s="114">
        <f t="shared" si="40"/>
        <v>2339959.1113220882</v>
      </c>
      <c r="BS145" s="136"/>
      <c r="BT145" s="136"/>
      <c r="BU145" s="136"/>
      <c r="BV145" s="115">
        <f t="shared" si="41"/>
        <v>2729952.2965424359</v>
      </c>
      <c r="BW145" s="115"/>
      <c r="BX145" s="116">
        <f t="shared" si="63"/>
        <v>4231426.0596407754</v>
      </c>
      <c r="BY145" s="116">
        <v>0</v>
      </c>
      <c r="BZ145" s="116"/>
      <c r="CA145" s="116"/>
      <c r="CB145" s="116"/>
      <c r="CC145" s="116"/>
      <c r="CD145" s="116">
        <v>0</v>
      </c>
      <c r="CE145" s="116"/>
      <c r="CF145" s="116"/>
      <c r="CG145" s="116"/>
      <c r="CH145" s="116"/>
      <c r="CI145" s="116"/>
      <c r="CJ145" s="116"/>
      <c r="CK145" s="116">
        <v>0</v>
      </c>
      <c r="CL145" s="116"/>
      <c r="CM145" s="119"/>
    </row>
    <row r="146" spans="1:92" s="118" customFormat="1" ht="38.25" x14ac:dyDescent="0.2">
      <c r="A146" s="118">
        <f>A144+1</f>
        <v>74</v>
      </c>
      <c r="B146" s="99">
        <f t="shared" si="61"/>
        <v>138</v>
      </c>
      <c r="C146" s="100" t="s">
        <v>314</v>
      </c>
      <c r="D146" s="101" t="s">
        <v>315</v>
      </c>
      <c r="E146" s="100" t="s">
        <v>293</v>
      </c>
      <c r="F146" s="100" t="s">
        <v>134</v>
      </c>
      <c r="G146" s="103">
        <v>43497</v>
      </c>
      <c r="H146" s="298" t="s">
        <v>142</v>
      </c>
      <c r="I146" s="104">
        <v>40000000</v>
      </c>
      <c r="J146" s="105">
        <v>7.7499999999999999E-2</v>
      </c>
      <c r="K146" s="105">
        <v>7.4999999999999997E-2</v>
      </c>
      <c r="L146" s="106">
        <v>0.9</v>
      </c>
      <c r="M146" s="107">
        <v>10</v>
      </c>
      <c r="N146" s="107">
        <v>3</v>
      </c>
      <c r="O146" s="106">
        <v>12</v>
      </c>
      <c r="P146" s="107">
        <f t="shared" si="54"/>
        <v>2325000</v>
      </c>
      <c r="Q146" s="107">
        <f t="shared" si="46"/>
        <v>24266242.635932758</v>
      </c>
      <c r="R146" s="107">
        <f t="shared" si="47"/>
        <v>1410475.3532135915</v>
      </c>
      <c r="S146" s="107">
        <f t="shared" si="48"/>
        <v>914524.6467864085</v>
      </c>
      <c r="T146" s="108">
        <v>0.606656065898319</v>
      </c>
      <c r="U146" s="107"/>
      <c r="V146" s="106"/>
      <c r="W146" s="107">
        <f t="shared" si="42"/>
        <v>24266242.635932758</v>
      </c>
      <c r="X146" s="107">
        <f t="shared" si="42"/>
        <v>1410475.3532135915</v>
      </c>
      <c r="Y146" s="109">
        <f t="shared" si="43"/>
        <v>24266242.635932758</v>
      </c>
      <c r="Z146" s="109">
        <f>SUM(X146)+786932.88</f>
        <v>2197408.2332135914</v>
      </c>
      <c r="AA146" s="299">
        <v>1410461.25</v>
      </c>
      <c r="AB146" s="299">
        <v>708206.63</v>
      </c>
      <c r="AC146" s="109">
        <f t="shared" si="49"/>
        <v>78740.353213591385</v>
      </c>
      <c r="AD146" s="110">
        <v>872.65743812918663</v>
      </c>
      <c r="AE146" s="110">
        <f t="shared" si="58"/>
        <v>1505191.9371773745</v>
      </c>
      <c r="AF146" s="110"/>
      <c r="AG146" s="111"/>
      <c r="AH146" s="111"/>
      <c r="AI146" s="111"/>
      <c r="AJ146" s="111"/>
      <c r="AK146" s="111"/>
      <c r="AL146" s="111">
        <f t="shared" si="44"/>
        <v>78740.353213591385</v>
      </c>
      <c r="AM146" s="111"/>
      <c r="AN146" s="111"/>
      <c r="AO146" s="111"/>
      <c r="AP146" s="111">
        <f t="shared" si="39"/>
        <v>78740.353213591385</v>
      </c>
      <c r="AQ146" s="111"/>
      <c r="AR146" s="111">
        <f t="shared" si="62"/>
        <v>78740.353213591385</v>
      </c>
      <c r="AS146" s="111">
        <v>-78740.350000000006</v>
      </c>
      <c r="AT146" s="111">
        <v>0</v>
      </c>
      <c r="AU146" s="111">
        <f t="shared" si="57"/>
        <v>78740.353213591385</v>
      </c>
      <c r="AV146" s="111"/>
      <c r="AW146" s="111"/>
      <c r="AX146" s="111"/>
      <c r="AY146" s="111">
        <v>0</v>
      </c>
      <c r="AZ146" s="111"/>
      <c r="BA146" s="85">
        <f t="shared" si="59"/>
        <v>0</v>
      </c>
      <c r="BB146" s="85"/>
      <c r="BC146" s="85"/>
      <c r="BD146" s="85"/>
      <c r="BE146" s="85"/>
      <c r="BF146" s="85"/>
      <c r="BG146" s="85"/>
      <c r="BH146" s="111">
        <f t="shared" si="60"/>
        <v>0</v>
      </c>
      <c r="BI146" s="111"/>
      <c r="BJ146" s="112">
        <f t="shared" si="64"/>
        <v>1693340.9293245461</v>
      </c>
      <c r="BK146" s="112"/>
      <c r="BL146" s="112"/>
      <c r="BM146" s="113"/>
      <c r="BN146" s="113"/>
      <c r="BO146" s="113"/>
      <c r="BP146" s="113"/>
      <c r="BQ146" s="114">
        <f t="shared" si="45"/>
        <v>1693340.9293245461</v>
      </c>
      <c r="BR146" s="114">
        <f t="shared" si="40"/>
        <v>1935246.7763709098</v>
      </c>
      <c r="BS146" s="98"/>
      <c r="BT146" s="98"/>
      <c r="BU146" s="98"/>
      <c r="BV146" s="115">
        <f t="shared" si="41"/>
        <v>2257787.9057660615</v>
      </c>
      <c r="BW146" s="115"/>
      <c r="BX146" s="116">
        <f t="shared" si="63"/>
        <v>3499571.2539373948</v>
      </c>
      <c r="BY146" s="116">
        <v>0</v>
      </c>
      <c r="BZ146" s="116"/>
      <c r="CA146" s="116"/>
      <c r="CB146" s="116"/>
      <c r="CC146" s="116"/>
      <c r="CD146" s="116">
        <v>0</v>
      </c>
      <c r="CE146" s="116"/>
      <c r="CF146" s="116"/>
      <c r="CG146" s="116"/>
      <c r="CH146" s="116"/>
      <c r="CI146" s="116"/>
      <c r="CJ146" s="116"/>
      <c r="CK146" s="116">
        <v>0</v>
      </c>
      <c r="CL146" s="116"/>
      <c r="CM146" s="217" t="s">
        <v>316</v>
      </c>
      <c r="CN146" s="99" t="s">
        <v>109</v>
      </c>
    </row>
    <row r="147" spans="1:92" s="120" customFormat="1" ht="25.5" x14ac:dyDescent="0.2">
      <c r="A147" s="120">
        <f>A146+1</f>
        <v>75</v>
      </c>
      <c r="B147" s="99">
        <f t="shared" si="61"/>
        <v>139</v>
      </c>
      <c r="C147" s="122" t="s">
        <v>317</v>
      </c>
      <c r="D147" s="123" t="s">
        <v>318</v>
      </c>
      <c r="E147" s="122" t="s">
        <v>319</v>
      </c>
      <c r="F147" s="100" t="s">
        <v>134</v>
      </c>
      <c r="G147" s="124">
        <v>43525</v>
      </c>
      <c r="H147" s="124" t="s">
        <v>97</v>
      </c>
      <c r="I147" s="125">
        <v>3000000</v>
      </c>
      <c r="J147" s="126">
        <v>7.7499999999999999E-2</v>
      </c>
      <c r="K147" s="105">
        <v>7.4999999999999997E-2</v>
      </c>
      <c r="L147" s="127">
        <v>0.9</v>
      </c>
      <c r="M147" s="128">
        <v>9</v>
      </c>
      <c r="N147" s="128"/>
      <c r="O147" s="127">
        <v>12</v>
      </c>
      <c r="P147" s="128">
        <f t="shared" si="54"/>
        <v>156937.5</v>
      </c>
      <c r="Q147" s="128">
        <f t="shared" si="46"/>
        <v>1819968.197694957</v>
      </c>
      <c r="R147" s="128">
        <f t="shared" si="47"/>
        <v>95207.086341917442</v>
      </c>
      <c r="S147" s="128">
        <f t="shared" si="48"/>
        <v>61730.413658082558</v>
      </c>
      <c r="T147" s="129">
        <v>0.606656065898319</v>
      </c>
      <c r="U147" s="128"/>
      <c r="V147" s="127"/>
      <c r="W147" s="128">
        <f t="shared" si="42"/>
        <v>1819968.197694957</v>
      </c>
      <c r="X147" s="128">
        <f>R147-V147</f>
        <v>95207.086341917442</v>
      </c>
      <c r="Y147" s="130">
        <f t="shared" si="43"/>
        <v>1819968.197694957</v>
      </c>
      <c r="Z147" s="130">
        <f>SUM(X147)-35376.1</f>
        <v>59830.986341917443</v>
      </c>
      <c r="AA147" s="281">
        <f>116249.99-AA148</f>
        <v>59830.98</v>
      </c>
      <c r="AB147" s="281"/>
      <c r="AC147" s="130">
        <f t="shared" si="49"/>
        <v>6.3419174402952194E-3</v>
      </c>
      <c r="AD147" s="131">
        <v>8.0939545296132565E-3</v>
      </c>
      <c r="AE147" s="131">
        <f t="shared" si="58"/>
        <v>0.12123139670815233</v>
      </c>
      <c r="AF147" s="131"/>
      <c r="AG147" s="132"/>
      <c r="AH147" s="132"/>
      <c r="AI147" s="132"/>
      <c r="AJ147" s="132"/>
      <c r="AK147" s="132"/>
      <c r="AL147" s="111">
        <f t="shared" si="44"/>
        <v>6.3419174402952194E-3</v>
      </c>
      <c r="AM147" s="111"/>
      <c r="AN147" s="111"/>
      <c r="AO147" s="111"/>
      <c r="AP147" s="111">
        <f t="shared" si="39"/>
        <v>6.3419174402952194E-3</v>
      </c>
      <c r="AQ147" s="111"/>
      <c r="AR147" s="111">
        <f t="shared" si="62"/>
        <v>6.3419174402952194E-3</v>
      </c>
      <c r="AS147" s="111"/>
      <c r="AT147" s="111">
        <v>0</v>
      </c>
      <c r="AU147" s="111">
        <f t="shared" si="57"/>
        <v>6.3419174402952194E-3</v>
      </c>
      <c r="AV147" s="111"/>
      <c r="AW147" s="111"/>
      <c r="AX147" s="111"/>
      <c r="AY147" s="111"/>
      <c r="AZ147" s="111"/>
      <c r="BA147" s="111">
        <f t="shared" si="59"/>
        <v>0</v>
      </c>
      <c r="BB147" s="111"/>
      <c r="BC147" s="111"/>
      <c r="BD147" s="111"/>
      <c r="BE147" s="111"/>
      <c r="BF147" s="111"/>
      <c r="BG147" s="111">
        <v>48937.5</v>
      </c>
      <c r="BH147" s="111">
        <f t="shared" si="60"/>
        <v>-48937.5</v>
      </c>
      <c r="BI147" s="111">
        <f>CK147*7.25%*0.9*3/12</f>
        <v>0</v>
      </c>
      <c r="BJ147" s="112">
        <f t="shared" si="64"/>
        <v>0.13638532129667136</v>
      </c>
      <c r="BK147" s="134"/>
      <c r="BL147" s="134"/>
      <c r="BM147" s="135"/>
      <c r="BN147" s="135"/>
      <c r="BO147" s="135"/>
      <c r="BP147" s="135"/>
      <c r="BQ147" s="114">
        <f t="shared" si="45"/>
        <v>0.13638532129667136</v>
      </c>
      <c r="BR147" s="114">
        <f t="shared" si="40"/>
        <v>0.15586893862476728</v>
      </c>
      <c r="BS147" s="136"/>
      <c r="BT147" s="136"/>
      <c r="BU147" s="136"/>
      <c r="BV147" s="115">
        <f t="shared" si="41"/>
        <v>0.18184709506222849</v>
      </c>
      <c r="BW147" s="115"/>
      <c r="BX147" s="116">
        <f t="shared" si="63"/>
        <v>0.2818629973464542</v>
      </c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>
        <v>3000000</v>
      </c>
      <c r="CK147" s="116">
        <f>3000000-3000000</f>
        <v>0</v>
      </c>
      <c r="CL147" s="116"/>
      <c r="CM147" s="119"/>
    </row>
    <row r="148" spans="1:92" s="120" customFormat="1" ht="25.5" x14ac:dyDescent="0.2">
      <c r="B148" s="99">
        <f t="shared" si="61"/>
        <v>140</v>
      </c>
      <c r="C148" s="122" t="s">
        <v>317</v>
      </c>
      <c r="D148" s="123" t="s">
        <v>318</v>
      </c>
      <c r="E148" s="122" t="s">
        <v>161</v>
      </c>
      <c r="F148" s="100" t="s">
        <v>134</v>
      </c>
      <c r="G148" s="124">
        <v>43556</v>
      </c>
      <c r="H148" s="124">
        <v>43556</v>
      </c>
      <c r="I148" s="125">
        <v>2000000</v>
      </c>
      <c r="J148" s="126">
        <v>7.7499999999999999E-2</v>
      </c>
      <c r="K148" s="105">
        <v>7.4999999999999997E-2</v>
      </c>
      <c r="L148" s="127">
        <v>0.9</v>
      </c>
      <c r="M148" s="128">
        <v>8</v>
      </c>
      <c r="N148" s="128"/>
      <c r="O148" s="127">
        <v>12</v>
      </c>
      <c r="P148" s="128">
        <f t="shared" si="54"/>
        <v>93000</v>
      </c>
      <c r="Q148" s="128">
        <f t="shared" si="46"/>
        <v>1213312.131796638</v>
      </c>
      <c r="R148" s="128">
        <f t="shared" si="47"/>
        <v>56419.014128543669</v>
      </c>
      <c r="S148" s="128">
        <f t="shared" si="48"/>
        <v>36580.985871456331</v>
      </c>
      <c r="T148" s="129">
        <v>0.606656065898319</v>
      </c>
      <c r="U148" s="128"/>
      <c r="V148" s="127"/>
      <c r="W148" s="128">
        <f t="shared" si="42"/>
        <v>1213312.131796638</v>
      </c>
      <c r="X148" s="128">
        <f t="shared" si="42"/>
        <v>56419.014128543669</v>
      </c>
      <c r="Y148" s="130">
        <f t="shared" si="43"/>
        <v>1213312.131796638</v>
      </c>
      <c r="Z148" s="130">
        <f t="shared" si="43"/>
        <v>56419.014128543669</v>
      </c>
      <c r="AA148" s="281">
        <v>56419.01</v>
      </c>
      <c r="AB148" s="281"/>
      <c r="AC148" s="130">
        <f t="shared" si="49"/>
        <v>4.1285436673206277E-3</v>
      </c>
      <c r="AD148" s="131">
        <v>0</v>
      </c>
      <c r="AE148" s="131">
        <f t="shared" si="58"/>
        <v>7.892078694997616E-2</v>
      </c>
      <c r="AF148" s="131"/>
      <c r="AG148" s="132"/>
      <c r="AH148" s="132"/>
      <c r="AI148" s="132"/>
      <c r="AJ148" s="132"/>
      <c r="AK148" s="132"/>
      <c r="AL148" s="111">
        <f t="shared" si="44"/>
        <v>4.1285436673206277E-3</v>
      </c>
      <c r="AM148" s="111"/>
      <c r="AN148" s="111"/>
      <c r="AO148" s="111"/>
      <c r="AP148" s="111">
        <f t="shared" si="39"/>
        <v>4.1285436673206277E-3</v>
      </c>
      <c r="AQ148" s="111"/>
      <c r="AR148" s="111">
        <f t="shared" si="62"/>
        <v>4.1285436673206277E-3</v>
      </c>
      <c r="AS148" s="111"/>
      <c r="AT148" s="111">
        <v>0</v>
      </c>
      <c r="AU148" s="111">
        <f t="shared" si="57"/>
        <v>4.1285436673206277E-3</v>
      </c>
      <c r="AV148" s="111"/>
      <c r="AW148" s="111"/>
      <c r="AX148" s="111"/>
      <c r="AY148" s="111"/>
      <c r="AZ148" s="111"/>
      <c r="BA148" s="111">
        <f t="shared" si="59"/>
        <v>0</v>
      </c>
      <c r="BB148" s="111"/>
      <c r="BC148" s="111"/>
      <c r="BD148" s="111"/>
      <c r="BE148" s="111"/>
      <c r="BF148" s="111"/>
      <c r="BG148" s="111"/>
      <c r="BH148" s="111">
        <f t="shared" si="60"/>
        <v>0</v>
      </c>
      <c r="BI148" s="111"/>
      <c r="BJ148" s="112">
        <f t="shared" si="64"/>
        <v>8.8785885318723168E-2</v>
      </c>
      <c r="BK148" s="134"/>
      <c r="BL148" s="134"/>
      <c r="BM148" s="135"/>
      <c r="BN148" s="135"/>
      <c r="BO148" s="135"/>
      <c r="BP148" s="135"/>
      <c r="BQ148" s="114">
        <f t="shared" si="45"/>
        <v>8.8785885318723168E-2</v>
      </c>
      <c r="BR148" s="114">
        <f t="shared" si="40"/>
        <v>0.10146958322139793</v>
      </c>
      <c r="BS148" s="136"/>
      <c r="BT148" s="136"/>
      <c r="BU148" s="136"/>
      <c r="BV148" s="115">
        <f t="shared" si="41"/>
        <v>0.11838118042496423</v>
      </c>
      <c r="BW148" s="115"/>
      <c r="BX148" s="116">
        <f t="shared" si="63"/>
        <v>0.18349082965869457</v>
      </c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>
        <v>0</v>
      </c>
      <c r="CL148" s="116"/>
      <c r="CM148" s="119"/>
    </row>
    <row r="149" spans="1:92" s="118" customFormat="1" ht="25.5" x14ac:dyDescent="0.2">
      <c r="A149" s="118">
        <f>A147+1</f>
        <v>76</v>
      </c>
      <c r="B149" s="99">
        <f t="shared" si="61"/>
        <v>141</v>
      </c>
      <c r="C149" s="100" t="s">
        <v>320</v>
      </c>
      <c r="D149" s="101" t="s">
        <v>321</v>
      </c>
      <c r="E149" s="100" t="s">
        <v>322</v>
      </c>
      <c r="F149" s="100" t="s">
        <v>96</v>
      </c>
      <c r="G149" s="103">
        <v>43586</v>
      </c>
      <c r="H149" s="103" t="s">
        <v>158</v>
      </c>
      <c r="I149" s="104">
        <v>4000000</v>
      </c>
      <c r="J149" s="105">
        <v>7.7499999999999999E-2</v>
      </c>
      <c r="K149" s="105">
        <v>7.4999999999999997E-2</v>
      </c>
      <c r="L149" s="106">
        <v>0.9</v>
      </c>
      <c r="M149" s="107">
        <v>7</v>
      </c>
      <c r="N149" s="107"/>
      <c r="O149" s="106">
        <v>12</v>
      </c>
      <c r="P149" s="107">
        <f t="shared" si="54"/>
        <v>162750</v>
      </c>
      <c r="Q149" s="107">
        <f t="shared" si="46"/>
        <v>2426624.263593276</v>
      </c>
      <c r="R149" s="107">
        <f t="shared" si="47"/>
        <v>98733.274724951421</v>
      </c>
      <c r="S149" s="107">
        <f t="shared" si="48"/>
        <v>64016.725275048579</v>
      </c>
      <c r="T149" s="108">
        <v>0.606656065898319</v>
      </c>
      <c r="U149" s="107"/>
      <c r="V149" s="106"/>
      <c r="W149" s="107">
        <f t="shared" si="42"/>
        <v>2426624.263593276</v>
      </c>
      <c r="X149" s="107">
        <f t="shared" si="42"/>
        <v>98733.274724951421</v>
      </c>
      <c r="Y149" s="109">
        <f t="shared" si="43"/>
        <v>2426624.263593276</v>
      </c>
      <c r="Z149" s="109">
        <f t="shared" si="43"/>
        <v>98733.274724951421</v>
      </c>
      <c r="AA149" s="299"/>
      <c r="AB149" s="299"/>
      <c r="AC149" s="109">
        <f t="shared" si="49"/>
        <v>98733.274724951421</v>
      </c>
      <c r="AD149" s="110">
        <v>3154611.5426712586</v>
      </c>
      <c r="AE149" s="110">
        <f t="shared" si="58"/>
        <v>1887374.4272392145</v>
      </c>
      <c r="AF149" s="110"/>
      <c r="AG149" s="111"/>
      <c r="AH149" s="111"/>
      <c r="AI149" s="111">
        <v>98733.27</v>
      </c>
      <c r="AJ149" s="111"/>
      <c r="AK149" s="111"/>
      <c r="AL149" s="111">
        <f t="shared" si="44"/>
        <v>4.7249514173017815E-3</v>
      </c>
      <c r="AM149" s="111"/>
      <c r="AN149" s="111"/>
      <c r="AO149" s="111"/>
      <c r="AP149" s="111">
        <f t="shared" si="39"/>
        <v>4.7249514173017815E-3</v>
      </c>
      <c r="AQ149" s="111"/>
      <c r="AR149" s="111">
        <f t="shared" si="62"/>
        <v>4.7249514173017815E-3</v>
      </c>
      <c r="AS149" s="111"/>
      <c r="AT149" s="111">
        <v>0</v>
      </c>
      <c r="AU149" s="111">
        <f t="shared" si="57"/>
        <v>4.7249514173017815E-3</v>
      </c>
      <c r="AV149" s="111"/>
      <c r="AW149" s="111"/>
      <c r="AX149" s="111"/>
      <c r="AY149" s="111"/>
      <c r="AZ149" s="111"/>
      <c r="BA149" s="111">
        <f t="shared" si="59"/>
        <v>0</v>
      </c>
      <c r="BB149" s="111"/>
      <c r="BC149" s="111"/>
      <c r="BD149" s="111"/>
      <c r="BE149" s="111"/>
      <c r="BF149" s="111"/>
      <c r="BG149" s="111"/>
      <c r="BH149" s="111">
        <f t="shared" si="60"/>
        <v>0</v>
      </c>
      <c r="BI149" s="111"/>
      <c r="BJ149" s="112">
        <f t="shared" si="64"/>
        <v>2123296.2306441166</v>
      </c>
      <c r="BK149" s="112"/>
      <c r="BL149" s="112"/>
      <c r="BM149" s="113"/>
      <c r="BN149" s="112">
        <f>AI149/J149/L149/M149*O149</f>
        <v>2426624.1474654377</v>
      </c>
      <c r="BO149" s="112"/>
      <c r="BP149" s="112"/>
      <c r="BQ149" s="114">
        <f t="shared" si="45"/>
        <v>-303327.91682132101</v>
      </c>
      <c r="BR149" s="114">
        <f t="shared" si="40"/>
        <v>0.11612783821325423</v>
      </c>
      <c r="BS149" s="98"/>
      <c r="BT149" s="98"/>
      <c r="BU149" s="98"/>
      <c r="BV149" s="115">
        <f t="shared" si="41"/>
        <v>0.13548247791546325</v>
      </c>
      <c r="BW149" s="115"/>
      <c r="BX149" s="116">
        <f t="shared" si="63"/>
        <v>0.20999784076896805</v>
      </c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>
        <v>0</v>
      </c>
      <c r="CL149" s="116"/>
      <c r="CM149" s="217" t="s">
        <v>323</v>
      </c>
    </row>
    <row r="150" spans="1:92" s="2" customFormat="1" ht="25.5" x14ac:dyDescent="0.2">
      <c r="B150" s="145">
        <f t="shared" si="61"/>
        <v>142</v>
      </c>
      <c r="C150" s="148" t="s">
        <v>320</v>
      </c>
      <c r="D150" s="164" t="s">
        <v>321</v>
      </c>
      <c r="E150" s="148" t="s">
        <v>151</v>
      </c>
      <c r="F150" s="148" t="s">
        <v>96</v>
      </c>
      <c r="G150" s="149">
        <v>43617</v>
      </c>
      <c r="H150" s="149" t="s">
        <v>324</v>
      </c>
      <c r="I150" s="150">
        <v>4000000</v>
      </c>
      <c r="J150" s="151">
        <v>7.7499999999999999E-2</v>
      </c>
      <c r="K150" s="151">
        <v>7.2499999999999995E-2</v>
      </c>
      <c r="L150" s="152">
        <v>0.9</v>
      </c>
      <c r="M150" s="153">
        <v>6</v>
      </c>
      <c r="N150" s="153">
        <v>0</v>
      </c>
      <c r="O150" s="152">
        <v>12</v>
      </c>
      <c r="P150" s="153">
        <f t="shared" si="54"/>
        <v>139500</v>
      </c>
      <c r="Q150" s="153">
        <f t="shared" si="46"/>
        <v>2426624.263593276</v>
      </c>
      <c r="R150" s="153">
        <f t="shared" si="47"/>
        <v>84628.521192815504</v>
      </c>
      <c r="S150" s="153">
        <f t="shared" si="48"/>
        <v>54871.478807184496</v>
      </c>
      <c r="T150" s="154">
        <v>0.606656065898319</v>
      </c>
      <c r="U150" s="153"/>
      <c r="V150" s="152"/>
      <c r="W150" s="153">
        <f t="shared" si="42"/>
        <v>2426624.263593276</v>
      </c>
      <c r="X150" s="153">
        <f t="shared" si="42"/>
        <v>84628.521192815504</v>
      </c>
      <c r="Y150" s="155">
        <f t="shared" si="43"/>
        <v>2426624.263593276</v>
      </c>
      <c r="Z150" s="155">
        <f t="shared" si="43"/>
        <v>84628.521192815504</v>
      </c>
      <c r="AA150" s="367"/>
      <c r="AB150" s="367"/>
      <c r="AC150" s="155">
        <f t="shared" si="49"/>
        <v>84628.521192815504</v>
      </c>
      <c r="AD150" s="156">
        <v>0</v>
      </c>
      <c r="AE150" s="156">
        <f t="shared" si="58"/>
        <v>1617749.509062184</v>
      </c>
      <c r="AF150" s="156"/>
      <c r="AG150" s="83"/>
      <c r="AH150" s="83"/>
      <c r="AI150" s="83">
        <f>127758.75-98733.27</f>
        <v>29025.479999999996</v>
      </c>
      <c r="AJ150" s="83"/>
      <c r="AK150" s="83"/>
      <c r="AL150" s="83">
        <f t="shared" si="44"/>
        <v>55603.041192815508</v>
      </c>
      <c r="AM150" s="83"/>
      <c r="AN150" s="83"/>
      <c r="AO150" s="83"/>
      <c r="AP150" s="83">
        <f t="shared" si="39"/>
        <v>55603.041192815508</v>
      </c>
      <c r="AQ150" s="83"/>
      <c r="AR150" s="83">
        <f t="shared" si="62"/>
        <v>55603.041192815508</v>
      </c>
      <c r="AS150" s="83"/>
      <c r="AT150" s="83">
        <f>BY150*K150*L150*N150/O150</f>
        <v>0</v>
      </c>
      <c r="AU150" s="83">
        <f t="shared" si="57"/>
        <v>55603.041192815508</v>
      </c>
      <c r="AV150" s="83"/>
      <c r="AW150" s="83"/>
      <c r="AX150" s="83"/>
      <c r="AY150" s="83">
        <v>45000</v>
      </c>
      <c r="AZ150" s="83"/>
      <c r="BA150" s="83">
        <f t="shared" si="59"/>
        <v>45000</v>
      </c>
      <c r="BB150" s="83"/>
      <c r="BC150" s="83"/>
      <c r="BD150" s="83"/>
      <c r="BE150" s="83"/>
      <c r="BF150" s="83"/>
      <c r="BG150" s="83"/>
      <c r="BH150" s="83">
        <f t="shared" si="60"/>
        <v>45000</v>
      </c>
      <c r="BI150" s="83">
        <f>CK150*K150*L150*N150/O150</f>
        <v>0</v>
      </c>
      <c r="BJ150" s="159">
        <f t="shared" si="64"/>
        <v>1819968.197694957</v>
      </c>
      <c r="BK150" s="159"/>
      <c r="BL150" s="159"/>
      <c r="BM150" s="89"/>
      <c r="BN150" s="159">
        <f>AI150/7.75%/0.9/7*12</f>
        <v>713375.85253456212</v>
      </c>
      <c r="BO150" s="159"/>
      <c r="BP150" s="159"/>
      <c r="BQ150" s="160">
        <f t="shared" si="45"/>
        <v>1106592.3451603949</v>
      </c>
      <c r="BR150" s="160">
        <f t="shared" si="40"/>
        <v>1366587.8019739604</v>
      </c>
      <c r="BS150" s="161"/>
      <c r="BT150" s="161"/>
      <c r="BU150" s="161"/>
      <c r="BV150" s="162">
        <f t="shared" si="41"/>
        <v>1594352.4356362871</v>
      </c>
      <c r="BW150" s="162"/>
      <c r="BX150" s="95">
        <f t="shared" si="63"/>
        <v>2556461.6640374949</v>
      </c>
      <c r="BY150" s="95">
        <v>2000000</v>
      </c>
      <c r="BZ150" s="95"/>
      <c r="CA150" s="95"/>
      <c r="CB150" s="95"/>
      <c r="CC150" s="95"/>
      <c r="CD150" s="95">
        <v>2000000</v>
      </c>
      <c r="CE150" s="95"/>
      <c r="CF150" s="95"/>
      <c r="CG150" s="95"/>
      <c r="CH150" s="95"/>
      <c r="CI150" s="95"/>
      <c r="CJ150" s="95"/>
      <c r="CK150" s="95">
        <v>1500000</v>
      </c>
      <c r="CL150" s="95">
        <v>2000000</v>
      </c>
      <c r="CM150" s="216" t="s">
        <v>105</v>
      </c>
      <c r="CN150" s="204" t="s">
        <v>106</v>
      </c>
    </row>
    <row r="151" spans="1:92" s="118" customFormat="1" ht="25.5" x14ac:dyDescent="0.2">
      <c r="B151" s="99">
        <f t="shared" si="61"/>
        <v>143</v>
      </c>
      <c r="C151" s="100" t="s">
        <v>325</v>
      </c>
      <c r="D151" s="101" t="s">
        <v>326</v>
      </c>
      <c r="E151" s="100" t="s">
        <v>95</v>
      </c>
      <c r="F151" s="100" t="s">
        <v>96</v>
      </c>
      <c r="G151" s="103"/>
      <c r="H151" s="103" t="s">
        <v>327</v>
      </c>
      <c r="I151" s="104"/>
      <c r="J151" s="105"/>
      <c r="K151" s="105">
        <v>7.4999999999999997E-2</v>
      </c>
      <c r="L151" s="106">
        <v>0.9</v>
      </c>
      <c r="M151" s="107">
        <v>6</v>
      </c>
      <c r="N151" s="107">
        <v>4</v>
      </c>
      <c r="O151" s="106">
        <v>12</v>
      </c>
      <c r="P151" s="107"/>
      <c r="Q151" s="107"/>
      <c r="R151" s="107"/>
      <c r="S151" s="107"/>
      <c r="T151" s="108"/>
      <c r="U151" s="107"/>
      <c r="V151" s="106"/>
      <c r="W151" s="107"/>
      <c r="X151" s="107"/>
      <c r="Y151" s="109"/>
      <c r="Z151" s="109"/>
      <c r="AA151" s="299"/>
      <c r="AB151" s="299"/>
      <c r="AC151" s="109"/>
      <c r="AD151" s="110"/>
      <c r="AE151" s="110"/>
      <c r="AF151" s="110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>
        <f t="shared" si="62"/>
        <v>0</v>
      </c>
      <c r="AS151" s="111"/>
      <c r="AT151" s="111">
        <v>0</v>
      </c>
      <c r="AU151" s="111">
        <f t="shared" si="57"/>
        <v>0</v>
      </c>
      <c r="AV151" s="111"/>
      <c r="AW151" s="111"/>
      <c r="AX151" s="111">
        <v>22191.78</v>
      </c>
      <c r="AY151" s="111">
        <v>0</v>
      </c>
      <c r="AZ151" s="111"/>
      <c r="BA151" s="111">
        <f t="shared" si="59"/>
        <v>0</v>
      </c>
      <c r="BB151" s="111"/>
      <c r="BC151" s="111"/>
      <c r="BD151" s="111"/>
      <c r="BE151" s="111"/>
      <c r="BF151" s="111"/>
      <c r="BG151" s="111"/>
      <c r="BH151" s="111">
        <f t="shared" si="60"/>
        <v>0</v>
      </c>
      <c r="BI151" s="111"/>
      <c r="BJ151" s="112"/>
      <c r="BK151" s="112"/>
      <c r="BL151" s="112"/>
      <c r="BM151" s="113"/>
      <c r="BN151" s="112"/>
      <c r="BO151" s="112"/>
      <c r="BP151" s="112"/>
      <c r="BQ151" s="114"/>
      <c r="BR151" s="114"/>
      <c r="BS151" s="98"/>
      <c r="BT151" s="98"/>
      <c r="BU151" s="98"/>
      <c r="BV151" s="115"/>
      <c r="BW151" s="115"/>
      <c r="BX151" s="116">
        <f t="shared" si="63"/>
        <v>0</v>
      </c>
      <c r="BY151" s="116"/>
      <c r="BZ151" s="116"/>
      <c r="CA151" s="116"/>
      <c r="CB151" s="116">
        <v>1000000</v>
      </c>
      <c r="CC151" s="116"/>
      <c r="CD151" s="116">
        <v>0</v>
      </c>
      <c r="CE151" s="116"/>
      <c r="CF151" s="116"/>
      <c r="CG151" s="116"/>
      <c r="CH151" s="116"/>
      <c r="CI151" s="116"/>
      <c r="CJ151" s="116"/>
      <c r="CK151" s="116">
        <v>0</v>
      </c>
      <c r="CL151" s="116">
        <v>1000000</v>
      </c>
      <c r="CM151" s="217" t="s">
        <v>135</v>
      </c>
      <c r="CN151" s="118" t="s">
        <v>106</v>
      </c>
    </row>
    <row r="152" spans="1:92" s="118" customFormat="1" ht="25.5" x14ac:dyDescent="0.2">
      <c r="B152" s="99">
        <f t="shared" si="61"/>
        <v>144</v>
      </c>
      <c r="C152" s="100" t="s">
        <v>328</v>
      </c>
      <c r="D152" s="101" t="s">
        <v>329</v>
      </c>
      <c r="E152" s="100" t="s">
        <v>161</v>
      </c>
      <c r="F152" s="100" t="s">
        <v>96</v>
      </c>
      <c r="G152" s="103"/>
      <c r="H152" s="103" t="s">
        <v>196</v>
      </c>
      <c r="I152" s="104"/>
      <c r="J152" s="105"/>
      <c r="K152" s="105">
        <v>7.4999999999999997E-2</v>
      </c>
      <c r="L152" s="106">
        <v>0.9</v>
      </c>
      <c r="M152" s="107">
        <v>6</v>
      </c>
      <c r="N152" s="107">
        <v>4</v>
      </c>
      <c r="O152" s="106">
        <v>12</v>
      </c>
      <c r="P152" s="107"/>
      <c r="Q152" s="107"/>
      <c r="R152" s="107"/>
      <c r="S152" s="107"/>
      <c r="T152" s="108"/>
      <c r="U152" s="107"/>
      <c r="V152" s="106"/>
      <c r="W152" s="107"/>
      <c r="X152" s="107"/>
      <c r="Y152" s="109"/>
      <c r="Z152" s="109"/>
      <c r="AA152" s="299"/>
      <c r="AB152" s="299"/>
      <c r="AC152" s="109"/>
      <c r="AD152" s="110"/>
      <c r="AE152" s="110"/>
      <c r="AF152" s="110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>
        <f t="shared" si="62"/>
        <v>0</v>
      </c>
      <c r="AS152" s="111"/>
      <c r="AT152" s="111">
        <v>0</v>
      </c>
      <c r="AU152" s="111">
        <f t="shared" si="57"/>
        <v>0</v>
      </c>
      <c r="AV152" s="111"/>
      <c r="AW152" s="111"/>
      <c r="AX152" s="111">
        <v>64910.96</v>
      </c>
      <c r="AY152" s="111">
        <v>0</v>
      </c>
      <c r="AZ152" s="111"/>
      <c r="BA152" s="111">
        <f t="shared" si="59"/>
        <v>0</v>
      </c>
      <c r="BB152" s="111"/>
      <c r="BC152" s="111"/>
      <c r="BD152" s="111"/>
      <c r="BE152" s="111"/>
      <c r="BF152" s="111"/>
      <c r="BG152" s="111"/>
      <c r="BH152" s="111">
        <f t="shared" si="60"/>
        <v>0</v>
      </c>
      <c r="BI152" s="111"/>
      <c r="BJ152" s="112"/>
      <c r="BK152" s="112"/>
      <c r="BL152" s="112"/>
      <c r="BM152" s="113"/>
      <c r="BN152" s="112"/>
      <c r="BO152" s="112"/>
      <c r="BP152" s="112"/>
      <c r="BQ152" s="114"/>
      <c r="BR152" s="114"/>
      <c r="BS152" s="98"/>
      <c r="BT152" s="98"/>
      <c r="BU152" s="98"/>
      <c r="BV152" s="115"/>
      <c r="BW152" s="115"/>
      <c r="BX152" s="116">
        <f t="shared" si="63"/>
        <v>0</v>
      </c>
      <c r="BY152" s="116"/>
      <c r="BZ152" s="116"/>
      <c r="CA152" s="116"/>
      <c r="CB152" s="116">
        <v>3000000</v>
      </c>
      <c r="CC152" s="116"/>
      <c r="CD152" s="116">
        <v>0</v>
      </c>
      <c r="CE152" s="116"/>
      <c r="CF152" s="116"/>
      <c r="CG152" s="116"/>
      <c r="CH152" s="116"/>
      <c r="CI152" s="116"/>
      <c r="CJ152" s="116"/>
      <c r="CK152" s="116">
        <v>0</v>
      </c>
      <c r="CL152" s="116">
        <v>3500000</v>
      </c>
      <c r="CM152" s="217" t="s">
        <v>135</v>
      </c>
      <c r="CN152" s="118" t="s">
        <v>106</v>
      </c>
    </row>
    <row r="153" spans="1:92" s="2" customFormat="1" ht="25.5" customHeight="1" x14ac:dyDescent="0.2">
      <c r="A153" s="2">
        <f>A149+1</f>
        <v>77</v>
      </c>
      <c r="B153" s="145">
        <f t="shared" si="61"/>
        <v>145</v>
      </c>
      <c r="C153" s="148" t="s">
        <v>330</v>
      </c>
      <c r="D153" s="164" t="s">
        <v>331</v>
      </c>
      <c r="E153" s="148" t="s">
        <v>161</v>
      </c>
      <c r="F153" s="148" t="s">
        <v>134</v>
      </c>
      <c r="G153" s="149">
        <v>43525</v>
      </c>
      <c r="H153" s="149" t="s">
        <v>124</v>
      </c>
      <c r="I153" s="150">
        <v>40000000</v>
      </c>
      <c r="J153" s="151">
        <v>7.7499999999999999E-2</v>
      </c>
      <c r="K153" s="151">
        <v>7.2499999999999995E-2</v>
      </c>
      <c r="L153" s="152">
        <v>0.9</v>
      </c>
      <c r="M153" s="153">
        <v>9</v>
      </c>
      <c r="N153" s="153">
        <v>2</v>
      </c>
      <c r="O153" s="152">
        <v>12</v>
      </c>
      <c r="P153" s="153">
        <f t="shared" ref="P153:P167" si="65">I153*J153*L153*M153/O153</f>
        <v>2092500</v>
      </c>
      <c r="Q153" s="153">
        <f t="shared" si="46"/>
        <v>24266242.635932758</v>
      </c>
      <c r="R153" s="153">
        <f t="shared" si="47"/>
        <v>1269427.8178922324</v>
      </c>
      <c r="S153" s="153">
        <f t="shared" si="48"/>
        <v>823072.18210776756</v>
      </c>
      <c r="T153" s="154">
        <v>0.606656065898319</v>
      </c>
      <c r="U153" s="153"/>
      <c r="V153" s="152"/>
      <c r="W153" s="153">
        <f t="shared" si="42"/>
        <v>24266242.635932758</v>
      </c>
      <c r="X153" s="153">
        <f t="shared" si="42"/>
        <v>1269427.8178922324</v>
      </c>
      <c r="Y153" s="155">
        <f t="shared" si="43"/>
        <v>24266242.635932758</v>
      </c>
      <c r="Z153" s="155">
        <f t="shared" si="43"/>
        <v>1269427.8178922324</v>
      </c>
      <c r="AA153" s="367">
        <v>1162500</v>
      </c>
      <c r="AB153" s="367"/>
      <c r="AC153" s="155">
        <f t="shared" si="49"/>
        <v>106927.81789223244</v>
      </c>
      <c r="AD153" s="156">
        <v>1839618.3723394796</v>
      </c>
      <c r="AE153" s="156">
        <f t="shared" si="58"/>
        <v>2044020.4137105367</v>
      </c>
      <c r="AF153" s="156"/>
      <c r="AG153" s="83"/>
      <c r="AH153" s="83"/>
      <c r="AI153" s="83"/>
      <c r="AJ153" s="83"/>
      <c r="AK153" s="83"/>
      <c r="AL153" s="83">
        <f t="shared" si="44"/>
        <v>106927.81789223244</v>
      </c>
      <c r="AM153" s="83"/>
      <c r="AN153" s="83"/>
      <c r="AO153" s="83"/>
      <c r="AP153" s="83">
        <f t="shared" si="39"/>
        <v>106927.81789223244</v>
      </c>
      <c r="AQ153" s="83"/>
      <c r="AR153" s="83">
        <f t="shared" si="62"/>
        <v>106927.81789223244</v>
      </c>
      <c r="AS153" s="83"/>
      <c r="AT153" s="83">
        <f>BY153*K153*L153*N153/O153</f>
        <v>217500</v>
      </c>
      <c r="AU153" s="83">
        <f t="shared" si="57"/>
        <v>-110572.18210776756</v>
      </c>
      <c r="AV153" s="83"/>
      <c r="AW153" s="83"/>
      <c r="AX153" s="83"/>
      <c r="AY153" s="83">
        <v>225000</v>
      </c>
      <c r="AZ153" s="83">
        <v>108750</v>
      </c>
      <c r="BA153" s="83">
        <f t="shared" si="59"/>
        <v>116250</v>
      </c>
      <c r="BB153" s="83"/>
      <c r="BC153" s="83"/>
      <c r="BD153" s="83"/>
      <c r="BE153" s="83"/>
      <c r="BF153" s="83"/>
      <c r="BG153" s="83"/>
      <c r="BH153" s="83">
        <f t="shared" si="60"/>
        <v>116250</v>
      </c>
      <c r="BI153" s="83">
        <f>CK153*K153*L153*N153/O153</f>
        <v>217500</v>
      </c>
      <c r="BJ153" s="159">
        <f t="shared" si="64"/>
        <v>2299522.9654243537</v>
      </c>
      <c r="BK153" s="159"/>
      <c r="BL153" s="159"/>
      <c r="BM153" s="89"/>
      <c r="BN153" s="89"/>
      <c r="BO153" s="89"/>
      <c r="BP153" s="89"/>
      <c r="BQ153" s="160">
        <f t="shared" si="45"/>
        <v>2299522.9654243537</v>
      </c>
      <c r="BR153" s="160">
        <f t="shared" si="40"/>
        <v>2628026.2461992614</v>
      </c>
      <c r="BS153" s="161"/>
      <c r="BT153" s="161"/>
      <c r="BU153" s="161"/>
      <c r="BV153" s="162">
        <f t="shared" si="41"/>
        <v>3066030.6205658051</v>
      </c>
      <c r="BW153" s="162"/>
      <c r="BX153" s="95">
        <f t="shared" si="63"/>
        <v>4916221.5122865494</v>
      </c>
      <c r="BY153" s="95">
        <v>20000000</v>
      </c>
      <c r="BZ153" s="95"/>
      <c r="CA153" s="95"/>
      <c r="CB153" s="95"/>
      <c r="CC153" s="95">
        <v>5000000</v>
      </c>
      <c r="CD153" s="95">
        <v>20000000</v>
      </c>
      <c r="CE153" s="95"/>
      <c r="CF153" s="95"/>
      <c r="CG153" s="95"/>
      <c r="CH153" s="95"/>
      <c r="CI153" s="95"/>
      <c r="CJ153" s="95"/>
      <c r="CK153" s="95">
        <v>20000000</v>
      </c>
      <c r="CL153" s="95">
        <v>20000000</v>
      </c>
      <c r="CM153" s="170" t="s">
        <v>332</v>
      </c>
      <c r="CN153" s="145" t="s">
        <v>109</v>
      </c>
    </row>
    <row r="154" spans="1:92" s="120" customFormat="1" ht="25.5" x14ac:dyDescent="0.2">
      <c r="A154" s="120">
        <f>A153+1</f>
        <v>78</v>
      </c>
      <c r="B154" s="99">
        <f t="shared" si="61"/>
        <v>146</v>
      </c>
      <c r="C154" s="122" t="s">
        <v>333</v>
      </c>
      <c r="D154" s="123" t="s">
        <v>334</v>
      </c>
      <c r="E154" s="122" t="s">
        <v>95</v>
      </c>
      <c r="F154" s="100" t="s">
        <v>96</v>
      </c>
      <c r="G154" s="124">
        <v>43556</v>
      </c>
      <c r="H154" s="124">
        <v>43556</v>
      </c>
      <c r="I154" s="125">
        <v>10000000</v>
      </c>
      <c r="J154" s="126">
        <v>7.7499999999999999E-2</v>
      </c>
      <c r="K154" s="105">
        <v>7.4999999999999997E-2</v>
      </c>
      <c r="L154" s="127">
        <v>0.9</v>
      </c>
      <c r="M154" s="128">
        <v>8</v>
      </c>
      <c r="N154" s="128"/>
      <c r="O154" s="127">
        <v>12</v>
      </c>
      <c r="P154" s="128">
        <f t="shared" si="65"/>
        <v>465000</v>
      </c>
      <c r="Q154" s="128">
        <f t="shared" si="46"/>
        <v>6066560.6589831896</v>
      </c>
      <c r="R154" s="128">
        <f t="shared" si="47"/>
        <v>282095.07064271829</v>
      </c>
      <c r="S154" s="128">
        <f t="shared" si="48"/>
        <v>182904.92935728171</v>
      </c>
      <c r="T154" s="129">
        <v>0.606656065898319</v>
      </c>
      <c r="U154" s="128"/>
      <c r="V154" s="127"/>
      <c r="W154" s="128">
        <f t="shared" si="42"/>
        <v>6066560.6589831896</v>
      </c>
      <c r="X154" s="128">
        <f t="shared" si="42"/>
        <v>282095.07064271829</v>
      </c>
      <c r="Y154" s="130">
        <f t="shared" si="43"/>
        <v>6066560.6589831896</v>
      </c>
      <c r="Z154" s="130">
        <f t="shared" si="43"/>
        <v>282095.07064271829</v>
      </c>
      <c r="AA154" s="281">
        <v>282080.63</v>
      </c>
      <c r="AB154" s="281"/>
      <c r="AC154" s="130">
        <f t="shared" si="49"/>
        <v>14.440642718283925</v>
      </c>
      <c r="AD154" s="131">
        <v>248.52718655113131</v>
      </c>
      <c r="AE154" s="131">
        <f t="shared" si="58"/>
        <v>276.04573893971661</v>
      </c>
      <c r="AF154" s="131"/>
      <c r="AG154" s="132"/>
      <c r="AH154" s="132"/>
      <c r="AI154" s="132"/>
      <c r="AJ154" s="132"/>
      <c r="AK154" s="132"/>
      <c r="AL154" s="111">
        <f t="shared" si="44"/>
        <v>14.440642718283925</v>
      </c>
      <c r="AM154" s="111"/>
      <c r="AN154" s="111"/>
      <c r="AO154" s="111"/>
      <c r="AP154" s="111">
        <f t="shared" si="39"/>
        <v>14.440642718283925</v>
      </c>
      <c r="AQ154" s="111"/>
      <c r="AR154" s="111">
        <f t="shared" si="62"/>
        <v>14.440642718283925</v>
      </c>
      <c r="AS154" s="111"/>
      <c r="AT154" s="111">
        <v>0</v>
      </c>
      <c r="AU154" s="111">
        <f t="shared" si="57"/>
        <v>14.440642718283925</v>
      </c>
      <c r="AV154" s="111"/>
      <c r="AW154" s="111"/>
      <c r="AX154" s="111"/>
      <c r="AY154" s="111"/>
      <c r="AZ154" s="111"/>
      <c r="BA154" s="111">
        <f t="shared" si="59"/>
        <v>0</v>
      </c>
      <c r="BB154" s="111"/>
      <c r="BC154" s="111"/>
      <c r="BD154" s="111"/>
      <c r="BE154" s="111"/>
      <c r="BF154" s="111"/>
      <c r="BG154" s="111"/>
      <c r="BH154" s="111">
        <f t="shared" si="60"/>
        <v>0</v>
      </c>
      <c r="BI154" s="111"/>
      <c r="BJ154" s="112">
        <f t="shared" si="64"/>
        <v>310.55145630718118</v>
      </c>
      <c r="BK154" s="134"/>
      <c r="BL154" s="134"/>
      <c r="BM154" s="135"/>
      <c r="BN154" s="135"/>
      <c r="BO154" s="135"/>
      <c r="BP154" s="135"/>
      <c r="BQ154" s="114">
        <f t="shared" si="45"/>
        <v>310.55145630718118</v>
      </c>
      <c r="BR154" s="114">
        <f t="shared" si="40"/>
        <v>354.91595006534999</v>
      </c>
      <c r="BS154" s="136"/>
      <c r="BT154" s="136"/>
      <c r="BU154" s="136"/>
      <c r="BV154" s="115">
        <f t="shared" si="41"/>
        <v>414.06860840957495</v>
      </c>
      <c r="BW154" s="115"/>
      <c r="BX154" s="116">
        <f t="shared" si="63"/>
        <v>641.80634303484112</v>
      </c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>
        <v>0</v>
      </c>
      <c r="CL154" s="116"/>
      <c r="CM154" s="119"/>
    </row>
    <row r="155" spans="1:92" s="120" customFormat="1" x14ac:dyDescent="0.2">
      <c r="B155" s="99">
        <f t="shared" si="61"/>
        <v>147</v>
      </c>
      <c r="C155" s="122" t="s">
        <v>333</v>
      </c>
      <c r="D155" s="123" t="s">
        <v>334</v>
      </c>
      <c r="E155" s="122"/>
      <c r="F155" s="100" t="s">
        <v>96</v>
      </c>
      <c r="G155" s="124"/>
      <c r="H155" s="124"/>
      <c r="I155" s="125"/>
      <c r="J155" s="126"/>
      <c r="K155" s="105">
        <v>7.4999999999999997E-2</v>
      </c>
      <c r="L155" s="106">
        <v>0.9</v>
      </c>
      <c r="M155" s="107">
        <v>9</v>
      </c>
      <c r="N155" s="107">
        <v>4</v>
      </c>
      <c r="O155" s="106">
        <v>12</v>
      </c>
      <c r="P155" s="128"/>
      <c r="Q155" s="128"/>
      <c r="R155" s="128"/>
      <c r="S155" s="128"/>
      <c r="T155" s="129"/>
      <c r="U155" s="128"/>
      <c r="V155" s="127"/>
      <c r="W155" s="128"/>
      <c r="X155" s="128"/>
      <c r="Y155" s="130"/>
      <c r="Z155" s="130"/>
      <c r="AA155" s="281"/>
      <c r="AB155" s="281"/>
      <c r="AC155" s="130"/>
      <c r="AD155" s="131"/>
      <c r="AE155" s="131"/>
      <c r="AF155" s="131"/>
      <c r="AG155" s="132"/>
      <c r="AH155" s="132"/>
      <c r="AI155" s="132"/>
      <c r="AJ155" s="132"/>
      <c r="AK155" s="132"/>
      <c r="AL155" s="111"/>
      <c r="AM155" s="111"/>
      <c r="AN155" s="111"/>
      <c r="AO155" s="111"/>
      <c r="AP155" s="111"/>
      <c r="AQ155" s="111"/>
      <c r="AR155" s="111">
        <f t="shared" si="62"/>
        <v>0</v>
      </c>
      <c r="AS155" s="111"/>
      <c r="AT155" s="111">
        <v>0</v>
      </c>
      <c r="AU155" s="111">
        <f t="shared" si="57"/>
        <v>0</v>
      </c>
      <c r="AV155" s="111"/>
      <c r="AW155" s="111"/>
      <c r="AX155" s="111"/>
      <c r="AY155" s="111"/>
      <c r="AZ155" s="111"/>
      <c r="BA155" s="300">
        <f>CL155*7.25%*0.9*3.5/12</f>
        <v>247406.24999999997</v>
      </c>
      <c r="BB155" s="111"/>
      <c r="BC155" s="111"/>
      <c r="BD155" s="111">
        <f>27187.52+108750.02</f>
        <v>135937.54</v>
      </c>
      <c r="BE155" s="111"/>
      <c r="BF155" s="111"/>
      <c r="BG155" s="111"/>
      <c r="BH155" s="111">
        <f t="shared" si="60"/>
        <v>111468.70999999996</v>
      </c>
      <c r="BI155" s="111">
        <v>0</v>
      </c>
      <c r="BJ155" s="112"/>
      <c r="BK155" s="134"/>
      <c r="BL155" s="134"/>
      <c r="BM155" s="135"/>
      <c r="BN155" s="135"/>
      <c r="BO155" s="135"/>
      <c r="BP155" s="135"/>
      <c r="BQ155" s="114"/>
      <c r="BR155" s="114"/>
      <c r="BS155" s="136"/>
      <c r="BT155" s="136"/>
      <c r="BU155" s="136"/>
      <c r="BV155" s="115"/>
      <c r="BW155" s="115"/>
      <c r="BX155" s="116">
        <f t="shared" si="63"/>
        <v>0</v>
      </c>
      <c r="BY155" s="116"/>
      <c r="BZ155" s="116"/>
      <c r="CA155" s="116"/>
      <c r="CB155" s="116"/>
      <c r="CC155" s="116"/>
      <c r="CD155" s="116"/>
      <c r="CE155" s="116"/>
      <c r="CF155" s="116"/>
      <c r="CG155" s="116">
        <f>2000000+8000000</f>
        <v>10000000</v>
      </c>
      <c r="CH155" s="116"/>
      <c r="CI155" s="116"/>
      <c r="CJ155" s="116"/>
      <c r="CK155" s="116">
        <v>0</v>
      </c>
      <c r="CL155" s="116">
        <v>13000000</v>
      </c>
      <c r="CM155" s="119" t="s">
        <v>335</v>
      </c>
      <c r="CN155" s="120" t="s">
        <v>106</v>
      </c>
    </row>
    <row r="156" spans="1:92" s="2" customFormat="1" ht="25.5" x14ac:dyDescent="0.2">
      <c r="A156" s="2">
        <f>A154+1</f>
        <v>79</v>
      </c>
      <c r="B156" s="145">
        <f t="shared" si="61"/>
        <v>148</v>
      </c>
      <c r="C156" s="148" t="s">
        <v>336</v>
      </c>
      <c r="D156" s="164" t="s">
        <v>337</v>
      </c>
      <c r="E156" s="148" t="s">
        <v>95</v>
      </c>
      <c r="F156" s="148" t="s">
        <v>96</v>
      </c>
      <c r="G156" s="149">
        <v>43497</v>
      </c>
      <c r="H156" s="149" t="s">
        <v>97</v>
      </c>
      <c r="I156" s="150">
        <v>2000000</v>
      </c>
      <c r="J156" s="151">
        <v>7.7499999999999999E-2</v>
      </c>
      <c r="K156" s="151">
        <v>7.2499999999999995E-2</v>
      </c>
      <c r="L156" s="152">
        <v>0.9</v>
      </c>
      <c r="M156" s="153">
        <v>10</v>
      </c>
      <c r="N156" s="153">
        <v>2.5</v>
      </c>
      <c r="O156" s="152">
        <v>12</v>
      </c>
      <c r="P156" s="153">
        <f t="shared" si="65"/>
        <v>116250</v>
      </c>
      <c r="Q156" s="153">
        <f t="shared" si="46"/>
        <v>1213312.131796638</v>
      </c>
      <c r="R156" s="153">
        <f t="shared" si="47"/>
        <v>70523.767660679587</v>
      </c>
      <c r="S156" s="153">
        <f t="shared" si="48"/>
        <v>45726.232339320413</v>
      </c>
      <c r="T156" s="154">
        <v>0.606656065898319</v>
      </c>
      <c r="U156" s="153"/>
      <c r="V156" s="152"/>
      <c r="W156" s="153">
        <f t="shared" si="42"/>
        <v>1213312.131796638</v>
      </c>
      <c r="X156" s="153">
        <f t="shared" si="42"/>
        <v>70523.767660679587</v>
      </c>
      <c r="Y156" s="155">
        <f t="shared" si="43"/>
        <v>1213312.131796638</v>
      </c>
      <c r="Z156" s="155">
        <f t="shared" si="43"/>
        <v>70523.767660679587</v>
      </c>
      <c r="AA156" s="367"/>
      <c r="AB156" s="367"/>
      <c r="AC156" s="155">
        <f t="shared" si="49"/>
        <v>70523.767660679587</v>
      </c>
      <c r="AD156" s="156">
        <v>1213312.131796638</v>
      </c>
      <c r="AE156" s="156">
        <f t="shared" si="58"/>
        <v>1348124.5908851533</v>
      </c>
      <c r="AF156" s="156"/>
      <c r="AG156" s="83"/>
      <c r="AH156" s="83"/>
      <c r="AI156" s="83"/>
      <c r="AJ156" s="83"/>
      <c r="AK156" s="83"/>
      <c r="AL156" s="83">
        <f t="shared" si="44"/>
        <v>70523.767660679587</v>
      </c>
      <c r="AM156" s="83"/>
      <c r="AN156" s="83"/>
      <c r="AO156" s="83"/>
      <c r="AP156" s="83">
        <f t="shared" si="39"/>
        <v>70523.767660679587</v>
      </c>
      <c r="AQ156" s="83"/>
      <c r="AR156" s="83">
        <f t="shared" si="62"/>
        <v>70523.767660679587</v>
      </c>
      <c r="AS156" s="83"/>
      <c r="AT156" s="83">
        <f>BY156*K156*L156*N156/O156</f>
        <v>13593.75</v>
      </c>
      <c r="AU156" s="83">
        <f t="shared" si="57"/>
        <v>56930.017660679587</v>
      </c>
      <c r="AV156" s="83"/>
      <c r="AW156" s="83"/>
      <c r="AX156" s="83"/>
      <c r="AY156" s="83">
        <v>22500</v>
      </c>
      <c r="AZ156" s="83"/>
      <c r="BA156" s="83">
        <f t="shared" si="59"/>
        <v>22500</v>
      </c>
      <c r="BB156" s="83"/>
      <c r="BC156" s="83"/>
      <c r="BD156" s="83"/>
      <c r="BE156" s="83"/>
      <c r="BF156" s="83"/>
      <c r="BG156" s="83"/>
      <c r="BH156" s="83">
        <f t="shared" si="60"/>
        <v>22500</v>
      </c>
      <c r="BI156" s="83">
        <f>CK156*K156*L156*N156/O156</f>
        <v>20390.624999999996</v>
      </c>
      <c r="BJ156" s="159">
        <f t="shared" si="64"/>
        <v>1516640.1647457974</v>
      </c>
      <c r="BK156" s="159"/>
      <c r="BL156" s="159"/>
      <c r="BM156" s="89"/>
      <c r="BN156" s="89"/>
      <c r="BO156" s="89"/>
      <c r="BP156" s="89"/>
      <c r="BQ156" s="160">
        <f t="shared" si="45"/>
        <v>1516640.1647457974</v>
      </c>
      <c r="BR156" s="160">
        <f t="shared" si="40"/>
        <v>1733303.0454237687</v>
      </c>
      <c r="BS156" s="161"/>
      <c r="BT156" s="161"/>
      <c r="BU156" s="161"/>
      <c r="BV156" s="162">
        <f t="shared" si="41"/>
        <v>2022186.88632773</v>
      </c>
      <c r="BW156" s="162"/>
      <c r="BX156" s="95">
        <f t="shared" si="63"/>
        <v>3242472.0763530848</v>
      </c>
      <c r="BY156" s="95">
        <v>1000000</v>
      </c>
      <c r="BZ156" s="95"/>
      <c r="CA156" s="95"/>
      <c r="CB156" s="95"/>
      <c r="CC156" s="95"/>
      <c r="CD156" s="95">
        <v>1000000</v>
      </c>
      <c r="CE156" s="95"/>
      <c r="CF156" s="95"/>
      <c r="CG156" s="95"/>
      <c r="CH156" s="95"/>
      <c r="CI156" s="95"/>
      <c r="CJ156" s="95"/>
      <c r="CK156" s="95">
        <v>1500000</v>
      </c>
      <c r="CL156" s="95">
        <v>1500000</v>
      </c>
      <c r="CM156" s="216" t="s">
        <v>338</v>
      </c>
      <c r="CN156" s="174" t="s">
        <v>106</v>
      </c>
    </row>
    <row r="157" spans="1:92" s="120" customFormat="1" ht="25.5" x14ac:dyDescent="0.2">
      <c r="A157" s="120">
        <f>A156+1</f>
        <v>80</v>
      </c>
      <c r="B157" s="99">
        <f t="shared" si="61"/>
        <v>149</v>
      </c>
      <c r="C157" s="122" t="s">
        <v>339</v>
      </c>
      <c r="D157" s="123" t="s">
        <v>340</v>
      </c>
      <c r="E157" s="122" t="s">
        <v>95</v>
      </c>
      <c r="F157" s="100" t="s">
        <v>134</v>
      </c>
      <c r="G157" s="124">
        <v>43497</v>
      </c>
      <c r="H157" s="124">
        <v>43497</v>
      </c>
      <c r="I157" s="125">
        <v>25000000</v>
      </c>
      <c r="J157" s="126">
        <v>7.7499999999999999E-2</v>
      </c>
      <c r="K157" s="105">
        <v>7.4999999999999997E-2</v>
      </c>
      <c r="L157" s="127">
        <v>0.9</v>
      </c>
      <c r="M157" s="128">
        <v>10</v>
      </c>
      <c r="N157" s="128"/>
      <c r="O157" s="127">
        <v>12</v>
      </c>
      <c r="P157" s="128">
        <f t="shared" si="65"/>
        <v>1453125</v>
      </c>
      <c r="Q157" s="128">
        <f t="shared" si="46"/>
        <v>15166401.647457974</v>
      </c>
      <c r="R157" s="128">
        <f t="shared" si="47"/>
        <v>881547.09575849457</v>
      </c>
      <c r="S157" s="128">
        <f t="shared" si="48"/>
        <v>571577.90424150543</v>
      </c>
      <c r="T157" s="129">
        <v>0.606656065898319</v>
      </c>
      <c r="U157" s="128"/>
      <c r="V157" s="127"/>
      <c r="W157" s="128">
        <f t="shared" si="42"/>
        <v>15166401.647457974</v>
      </c>
      <c r="X157" s="128">
        <f t="shared" si="42"/>
        <v>881547.09575849457</v>
      </c>
      <c r="Y157" s="130">
        <f t="shared" si="43"/>
        <v>15166401.647457974</v>
      </c>
      <c r="Z157" s="130">
        <f t="shared" si="43"/>
        <v>881547.09575849457</v>
      </c>
      <c r="AA157" s="281">
        <f>1092750+99975-AA158</f>
        <v>881547.1</v>
      </c>
      <c r="AB157" s="281"/>
      <c r="AC157" s="130">
        <f t="shared" si="49"/>
        <v>-4.2415054049342871E-3</v>
      </c>
      <c r="AD157" s="131">
        <v>-2373693.7594571561</v>
      </c>
      <c r="AE157" s="131">
        <f t="shared" si="58"/>
        <v>-8.1080151109854948E-2</v>
      </c>
      <c r="AF157" s="131"/>
      <c r="AG157" s="132"/>
      <c r="AH157" s="132"/>
      <c r="AI157" s="132"/>
      <c r="AJ157" s="132"/>
      <c r="AK157" s="132"/>
      <c r="AL157" s="111">
        <f t="shared" si="44"/>
        <v>-4.2415054049342871E-3</v>
      </c>
      <c r="AM157" s="111"/>
      <c r="AN157" s="111"/>
      <c r="AO157" s="111"/>
      <c r="AP157" s="111">
        <f t="shared" si="39"/>
        <v>-4.2415054049342871E-3</v>
      </c>
      <c r="AQ157" s="111"/>
      <c r="AR157" s="111">
        <f t="shared" si="62"/>
        <v>-4.2415054049342871E-3</v>
      </c>
      <c r="AS157" s="111"/>
      <c r="AT157" s="111">
        <v>0</v>
      </c>
      <c r="AU157" s="111">
        <f t="shared" si="57"/>
        <v>-4.2415054049342871E-3</v>
      </c>
      <c r="AV157" s="111"/>
      <c r="AW157" s="111"/>
      <c r="AX157" s="111"/>
      <c r="AY157" s="111"/>
      <c r="AZ157" s="111"/>
      <c r="BA157" s="111">
        <f t="shared" si="59"/>
        <v>0</v>
      </c>
      <c r="BB157" s="111"/>
      <c r="BC157" s="111"/>
      <c r="BD157" s="111"/>
      <c r="BE157" s="111"/>
      <c r="BF157" s="111"/>
      <c r="BG157" s="111"/>
      <c r="BH157" s="111">
        <f t="shared" si="60"/>
        <v>0</v>
      </c>
      <c r="BI157" s="111"/>
      <c r="BJ157" s="133">
        <f t="shared" si="64"/>
        <v>-9.1215169998586809E-2</v>
      </c>
      <c r="BK157" s="134"/>
      <c r="BL157" s="134"/>
      <c r="BM157" s="135"/>
      <c r="BN157" s="135"/>
      <c r="BO157" s="135"/>
      <c r="BP157" s="135"/>
      <c r="BQ157" s="114">
        <f t="shared" si="45"/>
        <v>-9.1215169998586809E-2</v>
      </c>
      <c r="BR157" s="114">
        <f t="shared" si="40"/>
        <v>-0.1042459085698135</v>
      </c>
      <c r="BS157" s="136"/>
      <c r="BT157" s="136"/>
      <c r="BU157" s="136"/>
      <c r="BV157" s="115">
        <f t="shared" si="41"/>
        <v>-0.12162022666478242</v>
      </c>
      <c r="BW157" s="115"/>
      <c r="BX157" s="116">
        <f t="shared" si="63"/>
        <v>-0.18851135133041277</v>
      </c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9"/>
    </row>
    <row r="158" spans="1:92" s="118" customFormat="1" ht="38.25" x14ac:dyDescent="0.2">
      <c r="B158" s="99">
        <f t="shared" si="61"/>
        <v>150</v>
      </c>
      <c r="C158" s="100" t="s">
        <v>339</v>
      </c>
      <c r="D158" s="101" t="s">
        <v>340</v>
      </c>
      <c r="E158" s="100" t="s">
        <v>161</v>
      </c>
      <c r="F158" s="100" t="s">
        <v>134</v>
      </c>
      <c r="G158" s="103">
        <v>43525</v>
      </c>
      <c r="H158" s="173" t="s">
        <v>97</v>
      </c>
      <c r="I158" s="104">
        <v>10000000</v>
      </c>
      <c r="J158" s="105">
        <v>7.7499999999999999E-2</v>
      </c>
      <c r="K158" s="105">
        <v>7.4999999999999997E-2</v>
      </c>
      <c r="L158" s="106">
        <v>0.9</v>
      </c>
      <c r="M158" s="107">
        <v>9</v>
      </c>
      <c r="N158" s="107">
        <v>4</v>
      </c>
      <c r="O158" s="106">
        <v>12</v>
      </c>
      <c r="P158" s="107">
        <f t="shared" si="65"/>
        <v>523125</v>
      </c>
      <c r="Q158" s="107">
        <f t="shared" si="46"/>
        <v>6066560.6589831896</v>
      </c>
      <c r="R158" s="107">
        <f t="shared" si="47"/>
        <v>317356.95447305811</v>
      </c>
      <c r="S158" s="107">
        <f t="shared" si="48"/>
        <v>205768.04552694189</v>
      </c>
      <c r="T158" s="108">
        <v>0.606656065898319</v>
      </c>
      <c r="U158" s="107"/>
      <c r="V158" s="106"/>
      <c r="W158" s="107">
        <f t="shared" si="42"/>
        <v>6066560.6589831896</v>
      </c>
      <c r="X158" s="107">
        <f t="shared" si="42"/>
        <v>317356.95447305811</v>
      </c>
      <c r="Y158" s="109">
        <f t="shared" si="43"/>
        <v>6066560.6589831896</v>
      </c>
      <c r="Z158" s="109">
        <f t="shared" si="43"/>
        <v>317356.95447305811</v>
      </c>
      <c r="AA158" s="299">
        <v>311177.90000000002</v>
      </c>
      <c r="AB158" s="299"/>
      <c r="AC158" s="109">
        <f t="shared" si="49"/>
        <v>6179.0544730580878</v>
      </c>
      <c r="AD158" s="110">
        <v>0</v>
      </c>
      <c r="AE158" s="110">
        <f t="shared" si="58"/>
        <v>118118.12612775314</v>
      </c>
      <c r="AF158" s="110"/>
      <c r="AG158" s="111"/>
      <c r="AH158" s="111"/>
      <c r="AI158" s="111"/>
      <c r="AJ158" s="111"/>
      <c r="AK158" s="111"/>
      <c r="AL158" s="111">
        <f t="shared" si="44"/>
        <v>6179.0544730580878</v>
      </c>
      <c r="AM158" s="111"/>
      <c r="AN158" s="111"/>
      <c r="AO158" s="111"/>
      <c r="AP158" s="111">
        <f t="shared" si="39"/>
        <v>6179.0544730580878</v>
      </c>
      <c r="AQ158" s="111"/>
      <c r="AR158" s="111">
        <f t="shared" si="62"/>
        <v>6179.0544730580878</v>
      </c>
      <c r="AS158" s="111"/>
      <c r="AT158" s="111">
        <v>0</v>
      </c>
      <c r="AU158" s="111">
        <f t="shared" si="57"/>
        <v>6179.0544730580878</v>
      </c>
      <c r="AV158" s="111"/>
      <c r="AW158" s="111"/>
      <c r="AX158" s="111"/>
      <c r="AY158" s="111"/>
      <c r="AZ158" s="111"/>
      <c r="BA158" s="300">
        <f t="shared" ref="BA158:BA159" si="66">CL158*7.25%*0.9*3.5/12</f>
        <v>247406.24999999997</v>
      </c>
      <c r="BB158" s="111"/>
      <c r="BC158" s="111"/>
      <c r="BD158" s="301">
        <v>167169.42000000001</v>
      </c>
      <c r="BE158" s="301"/>
      <c r="BF158" s="301"/>
      <c r="BG158" s="301"/>
      <c r="BH158" s="111">
        <f t="shared" si="60"/>
        <v>80236.829999999958</v>
      </c>
      <c r="BI158" s="111">
        <v>0</v>
      </c>
      <c r="BJ158" s="112">
        <f t="shared" si="64"/>
        <v>132882.89189372229</v>
      </c>
      <c r="BK158" s="112"/>
      <c r="BL158" s="112"/>
      <c r="BM158" s="113"/>
      <c r="BN158" s="113"/>
      <c r="BO158" s="113"/>
      <c r="BP158" s="113"/>
      <c r="BQ158" s="114">
        <f t="shared" si="45"/>
        <v>132882.89189372229</v>
      </c>
      <c r="BR158" s="114">
        <f t="shared" si="40"/>
        <v>151866.16216425406</v>
      </c>
      <c r="BS158" s="98"/>
      <c r="BT158" s="98"/>
      <c r="BU158" s="98"/>
      <c r="BV158" s="115">
        <f t="shared" si="41"/>
        <v>177177.18919162973</v>
      </c>
      <c r="BW158" s="115"/>
      <c r="BX158" s="116">
        <f t="shared" si="63"/>
        <v>274624.64324702614</v>
      </c>
      <c r="BY158" s="116">
        <v>0</v>
      </c>
      <c r="BZ158" s="116"/>
      <c r="CA158" s="116"/>
      <c r="CB158" s="116"/>
      <c r="CC158" s="116"/>
      <c r="CD158" s="116"/>
      <c r="CE158" s="116"/>
      <c r="CF158" s="116"/>
      <c r="CG158" s="116">
        <v>13000000</v>
      </c>
      <c r="CH158" s="116"/>
      <c r="CI158" s="116"/>
      <c r="CJ158" s="116"/>
      <c r="CK158" s="116">
        <v>0</v>
      </c>
      <c r="CL158" s="116">
        <v>13000000</v>
      </c>
      <c r="CM158" s="119" t="s">
        <v>341</v>
      </c>
      <c r="CN158" s="119" t="s">
        <v>109</v>
      </c>
    </row>
    <row r="159" spans="1:92" s="118" customFormat="1" ht="25.5" x14ac:dyDescent="0.2">
      <c r="B159" s="99">
        <f t="shared" si="61"/>
        <v>151</v>
      </c>
      <c r="C159" s="100" t="s">
        <v>339</v>
      </c>
      <c r="D159" s="101" t="s">
        <v>340</v>
      </c>
      <c r="E159" s="100" t="s">
        <v>95</v>
      </c>
      <c r="F159" s="100"/>
      <c r="G159" s="103"/>
      <c r="H159" s="173" t="s">
        <v>97</v>
      </c>
      <c r="I159" s="104"/>
      <c r="J159" s="105"/>
      <c r="K159" s="105">
        <v>7.4999999999999997E-2</v>
      </c>
      <c r="L159" s="106">
        <v>0.9</v>
      </c>
      <c r="M159" s="107">
        <v>9</v>
      </c>
      <c r="N159" s="107">
        <v>4</v>
      </c>
      <c r="O159" s="106">
        <v>12</v>
      </c>
      <c r="P159" s="107"/>
      <c r="Q159" s="107">
        <f t="shared" si="46"/>
        <v>0</v>
      </c>
      <c r="R159" s="107"/>
      <c r="S159" s="107"/>
      <c r="T159" s="108"/>
      <c r="U159" s="107"/>
      <c r="V159" s="106"/>
      <c r="W159" s="107">
        <f t="shared" si="42"/>
        <v>0</v>
      </c>
      <c r="X159" s="107"/>
      <c r="Y159" s="109">
        <f t="shared" si="43"/>
        <v>0</v>
      </c>
      <c r="Z159" s="109"/>
      <c r="AA159" s="299"/>
      <c r="AB159" s="299"/>
      <c r="AC159" s="109"/>
      <c r="AD159" s="110"/>
      <c r="AE159" s="110"/>
      <c r="AF159" s="110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>
        <f t="shared" si="62"/>
        <v>0</v>
      </c>
      <c r="AS159" s="111"/>
      <c r="AT159" s="111">
        <v>0</v>
      </c>
      <c r="AU159" s="111">
        <f t="shared" si="57"/>
        <v>0</v>
      </c>
      <c r="AV159" s="111"/>
      <c r="AW159" s="111"/>
      <c r="AX159" s="111"/>
      <c r="AY159" s="111"/>
      <c r="AZ159" s="111"/>
      <c r="BA159" s="300">
        <f t="shared" si="66"/>
        <v>513843.74999999994</v>
      </c>
      <c r="BB159" s="111"/>
      <c r="BC159" s="111"/>
      <c r="BD159" s="111">
        <v>513843.75</v>
      </c>
      <c r="BE159" s="111"/>
      <c r="BF159" s="111"/>
      <c r="BG159" s="111"/>
      <c r="BH159" s="111">
        <f t="shared" si="60"/>
        <v>-5.8207660913467407E-11</v>
      </c>
      <c r="BI159" s="111">
        <v>0</v>
      </c>
      <c r="BJ159" s="112"/>
      <c r="BK159" s="112"/>
      <c r="BL159" s="112"/>
      <c r="BM159" s="113"/>
      <c r="BN159" s="113"/>
      <c r="BO159" s="113"/>
      <c r="BP159" s="113"/>
      <c r="BQ159" s="114"/>
      <c r="BR159" s="114"/>
      <c r="BS159" s="98"/>
      <c r="BT159" s="98"/>
      <c r="BU159" s="98"/>
      <c r="BV159" s="115"/>
      <c r="BW159" s="115"/>
      <c r="BX159" s="116">
        <f t="shared" si="63"/>
        <v>0</v>
      </c>
      <c r="BY159" s="116"/>
      <c r="BZ159" s="116"/>
      <c r="CA159" s="116"/>
      <c r="CB159" s="116"/>
      <c r="CC159" s="116"/>
      <c r="CD159" s="116"/>
      <c r="CE159" s="116"/>
      <c r="CF159" s="116"/>
      <c r="CG159" s="116">
        <v>27000000</v>
      </c>
      <c r="CH159" s="116"/>
      <c r="CI159" s="116"/>
      <c r="CJ159" s="116"/>
      <c r="CK159" s="116">
        <v>0</v>
      </c>
      <c r="CL159" s="116">
        <v>27000000</v>
      </c>
      <c r="CM159" s="217" t="s">
        <v>135</v>
      </c>
      <c r="CN159" s="217" t="s">
        <v>230</v>
      </c>
    </row>
    <row r="160" spans="1:92" s="196" customFormat="1" ht="25.5" x14ac:dyDescent="0.2">
      <c r="A160" s="196">
        <f>A157+1</f>
        <v>81</v>
      </c>
      <c r="B160" s="99">
        <f t="shared" si="61"/>
        <v>152</v>
      </c>
      <c r="C160" s="122" t="s">
        <v>342</v>
      </c>
      <c r="D160" s="123" t="s">
        <v>343</v>
      </c>
      <c r="E160" s="122" t="s">
        <v>95</v>
      </c>
      <c r="F160" s="100" t="s">
        <v>134</v>
      </c>
      <c r="G160" s="124">
        <v>43525</v>
      </c>
      <c r="H160" s="124">
        <v>43525</v>
      </c>
      <c r="I160" s="125">
        <v>9000000</v>
      </c>
      <c r="J160" s="197">
        <v>7.7499999999999999E-2</v>
      </c>
      <c r="K160" s="76">
        <v>7.4999999999999997E-2</v>
      </c>
      <c r="L160" s="175">
        <v>0.9</v>
      </c>
      <c r="M160" s="176">
        <v>9</v>
      </c>
      <c r="N160" s="176"/>
      <c r="O160" s="175">
        <v>12</v>
      </c>
      <c r="P160" s="128">
        <f t="shared" si="65"/>
        <v>470812.5</v>
      </c>
      <c r="Q160" s="176">
        <f t="shared" si="46"/>
        <v>5459904.5930848708</v>
      </c>
      <c r="R160" s="128">
        <f t="shared" si="47"/>
        <v>285621.25902575225</v>
      </c>
      <c r="S160" s="128">
        <f t="shared" si="48"/>
        <v>185191.24097424775</v>
      </c>
      <c r="T160" s="129">
        <v>0.606656065898319</v>
      </c>
      <c r="U160" s="176"/>
      <c r="V160" s="127"/>
      <c r="W160" s="128">
        <f t="shared" si="42"/>
        <v>5459904.5930848708</v>
      </c>
      <c r="X160" s="128">
        <f t="shared" si="42"/>
        <v>285621.25902575225</v>
      </c>
      <c r="Y160" s="130">
        <f t="shared" si="43"/>
        <v>5459904.5930848708</v>
      </c>
      <c r="Z160" s="130">
        <f t="shared" si="43"/>
        <v>285621.25902575225</v>
      </c>
      <c r="AA160" s="281">
        <f>380718.75-AA161</f>
        <v>285621.26</v>
      </c>
      <c r="AB160" s="281"/>
      <c r="AC160" s="130">
        <f t="shared" si="49"/>
        <v>-9.7424775594845414E-4</v>
      </c>
      <c r="AD160" s="131">
        <v>1885.5117018455639</v>
      </c>
      <c r="AE160" s="131">
        <f t="shared" si="58"/>
        <v>-1.8623613016935804E-2</v>
      </c>
      <c r="AF160" s="131"/>
      <c r="AG160" s="132"/>
      <c r="AH160" s="132"/>
      <c r="AI160" s="132"/>
      <c r="AJ160" s="132"/>
      <c r="AK160" s="132"/>
      <c r="AL160" s="111">
        <f t="shared" si="44"/>
        <v>-9.7424775594845414E-4</v>
      </c>
      <c r="AM160" s="111"/>
      <c r="AN160" s="111"/>
      <c r="AO160" s="111"/>
      <c r="AP160" s="111">
        <f t="shared" si="39"/>
        <v>-9.7424775594845414E-4</v>
      </c>
      <c r="AQ160" s="111"/>
      <c r="AR160" s="111">
        <f t="shared" si="62"/>
        <v>-9.7424775594845414E-4</v>
      </c>
      <c r="AS160" s="111"/>
      <c r="AT160" s="111">
        <v>0</v>
      </c>
      <c r="AU160" s="111">
        <f t="shared" si="57"/>
        <v>-9.7424775594845414E-4</v>
      </c>
      <c r="AV160" s="111"/>
      <c r="AW160" s="111"/>
      <c r="AX160" s="111"/>
      <c r="AY160" s="111"/>
      <c r="AZ160" s="111"/>
      <c r="BA160" s="111">
        <f t="shared" si="59"/>
        <v>0</v>
      </c>
      <c r="BB160" s="111"/>
      <c r="BC160" s="111"/>
      <c r="BD160" s="111"/>
      <c r="BE160" s="111"/>
      <c r="BF160" s="111"/>
      <c r="BG160" s="111"/>
      <c r="BH160" s="111">
        <f t="shared" si="60"/>
        <v>0</v>
      </c>
      <c r="BI160" s="111">
        <v>0</v>
      </c>
      <c r="BJ160" s="133">
        <f t="shared" si="64"/>
        <v>-2.0951564644052775E-2</v>
      </c>
      <c r="BK160" s="134"/>
      <c r="BL160" s="134"/>
      <c r="BM160" s="135"/>
      <c r="BN160" s="135"/>
      <c r="BO160" s="135"/>
      <c r="BP160" s="135"/>
      <c r="BQ160" s="114">
        <f t="shared" si="45"/>
        <v>-2.0951564644052775E-2</v>
      </c>
      <c r="BR160" s="114">
        <f t="shared" si="40"/>
        <v>-2.3944645307488889E-2</v>
      </c>
      <c r="BS160" s="136"/>
      <c r="BT160" s="136"/>
      <c r="BU160" s="136"/>
      <c r="BV160" s="115">
        <f t="shared" si="41"/>
        <v>-2.7935419525403703E-2</v>
      </c>
      <c r="BW160" s="115"/>
      <c r="BX160" s="116">
        <f t="shared" si="63"/>
        <v>-4.3299900264375746E-2</v>
      </c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>
        <v>0</v>
      </c>
      <c r="CL160" s="116"/>
      <c r="CM160" s="199"/>
    </row>
    <row r="161" spans="1:93" s="196" customFormat="1" ht="25.5" x14ac:dyDescent="0.2">
      <c r="B161" s="99">
        <f t="shared" si="61"/>
        <v>153</v>
      </c>
      <c r="C161" s="122" t="s">
        <v>342</v>
      </c>
      <c r="D161" s="123" t="s">
        <v>343</v>
      </c>
      <c r="E161" s="122" t="s">
        <v>161</v>
      </c>
      <c r="F161" s="100" t="s">
        <v>134</v>
      </c>
      <c r="G161" s="124">
        <v>43525</v>
      </c>
      <c r="H161" s="124">
        <v>43525</v>
      </c>
      <c r="I161" s="125">
        <v>3000000</v>
      </c>
      <c r="J161" s="197">
        <v>7.7499999999999999E-2</v>
      </c>
      <c r="K161" s="76">
        <v>7.4999999999999997E-2</v>
      </c>
      <c r="L161" s="175">
        <v>0.9</v>
      </c>
      <c r="M161" s="176">
        <v>9</v>
      </c>
      <c r="N161" s="176"/>
      <c r="O161" s="175">
        <v>12</v>
      </c>
      <c r="P161" s="128">
        <f t="shared" si="65"/>
        <v>156937.5</v>
      </c>
      <c r="Q161" s="176">
        <f t="shared" si="46"/>
        <v>1819968.197694957</v>
      </c>
      <c r="R161" s="128">
        <f t="shared" si="47"/>
        <v>95207.086341917442</v>
      </c>
      <c r="S161" s="128">
        <f t="shared" si="48"/>
        <v>61730.413658082558</v>
      </c>
      <c r="T161" s="129">
        <v>0.606656065898319</v>
      </c>
      <c r="U161" s="176"/>
      <c r="V161" s="127"/>
      <c r="W161" s="128">
        <f t="shared" si="42"/>
        <v>1819968.197694957</v>
      </c>
      <c r="X161" s="128">
        <f t="shared" si="42"/>
        <v>95207.086341917442</v>
      </c>
      <c r="Y161" s="130">
        <f t="shared" si="43"/>
        <v>1819968.197694957</v>
      </c>
      <c r="Z161" s="130">
        <f t="shared" si="43"/>
        <v>95207.086341917442</v>
      </c>
      <c r="AA161" s="138">
        <v>95097.49</v>
      </c>
      <c r="AB161" s="138"/>
      <c r="AC161" s="130">
        <f t="shared" si="49"/>
        <v>109.5963419174368</v>
      </c>
      <c r="AD161" s="131">
        <v>0</v>
      </c>
      <c r="AE161" s="131">
        <f t="shared" si="58"/>
        <v>2095.0316256618744</v>
      </c>
      <c r="AF161" s="131"/>
      <c r="AG161" s="132"/>
      <c r="AH161" s="132"/>
      <c r="AI161" s="132"/>
      <c r="AJ161" s="132"/>
      <c r="AK161" s="132"/>
      <c r="AL161" s="111">
        <f t="shared" si="44"/>
        <v>109.5963419174368</v>
      </c>
      <c r="AM161" s="111"/>
      <c r="AN161" s="111"/>
      <c r="AO161" s="111"/>
      <c r="AP161" s="111">
        <f t="shared" si="39"/>
        <v>109.5963419174368</v>
      </c>
      <c r="AQ161" s="111"/>
      <c r="AR161" s="111">
        <f t="shared" si="62"/>
        <v>109.5963419174368</v>
      </c>
      <c r="AS161" s="111"/>
      <c r="AT161" s="111">
        <v>0</v>
      </c>
      <c r="AU161" s="111">
        <f t="shared" si="57"/>
        <v>109.5963419174368</v>
      </c>
      <c r="AV161" s="111"/>
      <c r="AW161" s="111"/>
      <c r="AX161" s="111"/>
      <c r="AY161" s="111"/>
      <c r="AZ161" s="111"/>
      <c r="BA161" s="111">
        <f t="shared" si="59"/>
        <v>0</v>
      </c>
      <c r="BB161" s="111"/>
      <c r="BC161" s="111"/>
      <c r="BD161" s="111"/>
      <c r="BE161" s="111"/>
      <c r="BF161" s="111"/>
      <c r="BG161" s="111"/>
      <c r="BH161" s="111">
        <f t="shared" si="60"/>
        <v>0</v>
      </c>
      <c r="BI161" s="111">
        <v>0</v>
      </c>
      <c r="BJ161" s="112">
        <f t="shared" si="64"/>
        <v>2356.9105788696088</v>
      </c>
      <c r="BK161" s="134"/>
      <c r="BL161" s="134"/>
      <c r="BM161" s="135"/>
      <c r="BN161" s="135"/>
      <c r="BO161" s="135"/>
      <c r="BP161" s="135"/>
      <c r="BQ161" s="114">
        <f t="shared" si="45"/>
        <v>2356.9105788696088</v>
      </c>
      <c r="BR161" s="114">
        <f t="shared" si="40"/>
        <v>2693.6120901366958</v>
      </c>
      <c r="BS161" s="136"/>
      <c r="BT161" s="136"/>
      <c r="BU161" s="136"/>
      <c r="BV161" s="115">
        <f t="shared" si="41"/>
        <v>3142.5474384928116</v>
      </c>
      <c r="BW161" s="115"/>
      <c r="BX161" s="116">
        <f t="shared" si="63"/>
        <v>4870.9485296638577</v>
      </c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>
        <v>0</v>
      </c>
      <c r="CL161" s="116"/>
      <c r="CM161" s="199"/>
    </row>
    <row r="162" spans="1:93" s="120" customFormat="1" ht="25.5" x14ac:dyDescent="0.2">
      <c r="B162" s="99">
        <f t="shared" si="61"/>
        <v>154</v>
      </c>
      <c r="C162" s="122" t="s">
        <v>342</v>
      </c>
      <c r="D162" s="123" t="s">
        <v>343</v>
      </c>
      <c r="E162" s="136" t="s">
        <v>230</v>
      </c>
      <c r="F162" s="100" t="s">
        <v>134</v>
      </c>
      <c r="G162" s="124"/>
      <c r="H162" s="124" t="s">
        <v>344</v>
      </c>
      <c r="I162" s="125"/>
      <c r="J162" s="126"/>
      <c r="K162" s="105">
        <v>7.4999999999999997E-2</v>
      </c>
      <c r="L162" s="127">
        <v>0.9</v>
      </c>
      <c r="M162" s="128">
        <v>9</v>
      </c>
      <c r="N162" s="128">
        <v>4</v>
      </c>
      <c r="O162" s="127">
        <v>12</v>
      </c>
      <c r="P162" s="128"/>
      <c r="Q162" s="128"/>
      <c r="R162" s="128"/>
      <c r="S162" s="128"/>
      <c r="T162" s="129"/>
      <c r="U162" s="128"/>
      <c r="V162" s="127"/>
      <c r="W162" s="128"/>
      <c r="X162" s="128"/>
      <c r="Y162" s="130"/>
      <c r="Z162" s="130"/>
      <c r="AA162" s="138"/>
      <c r="AB162" s="138"/>
      <c r="AC162" s="130"/>
      <c r="AD162" s="131"/>
      <c r="AE162" s="131"/>
      <c r="AF162" s="131"/>
      <c r="AG162" s="132"/>
      <c r="AH162" s="132"/>
      <c r="AI162" s="132"/>
      <c r="AJ162" s="132"/>
      <c r="AK162" s="132"/>
      <c r="AL162" s="111"/>
      <c r="AM162" s="111"/>
      <c r="AN162" s="111"/>
      <c r="AO162" s="111"/>
      <c r="AP162" s="111"/>
      <c r="AQ162" s="111"/>
      <c r="AR162" s="111">
        <f t="shared" si="62"/>
        <v>0</v>
      </c>
      <c r="AS162" s="111"/>
      <c r="AT162" s="111">
        <v>0</v>
      </c>
      <c r="AU162" s="111">
        <f t="shared" si="57"/>
        <v>0</v>
      </c>
      <c r="AV162" s="111"/>
      <c r="AW162" s="111"/>
      <c r="AX162" s="111"/>
      <c r="AY162" s="111"/>
      <c r="AZ162" s="111"/>
      <c r="BA162" s="300">
        <f t="shared" ref="BA162:BA163" si="67">CL162*7.25%*0.9*3.5/12</f>
        <v>189360.9375</v>
      </c>
      <c r="BB162" s="111"/>
      <c r="BC162" s="111"/>
      <c r="BD162" s="111">
        <v>145942.5</v>
      </c>
      <c r="BE162" s="111"/>
      <c r="BF162" s="111"/>
      <c r="BG162" s="111"/>
      <c r="BH162" s="111">
        <f t="shared" si="60"/>
        <v>43418.4375</v>
      </c>
      <c r="BI162" s="111">
        <v>0</v>
      </c>
      <c r="BJ162" s="112"/>
      <c r="BK162" s="134"/>
      <c r="BL162" s="134"/>
      <c r="BM162" s="135"/>
      <c r="BN162" s="135"/>
      <c r="BO162" s="135"/>
      <c r="BP162" s="135"/>
      <c r="BQ162" s="114"/>
      <c r="BR162" s="114"/>
      <c r="BS162" s="136"/>
      <c r="BT162" s="136"/>
      <c r="BU162" s="136"/>
      <c r="BV162" s="115"/>
      <c r="BW162" s="115"/>
      <c r="BX162" s="116">
        <f t="shared" si="63"/>
        <v>0</v>
      </c>
      <c r="BY162" s="116"/>
      <c r="BZ162" s="116"/>
      <c r="CA162" s="116"/>
      <c r="CB162" s="116"/>
      <c r="CC162" s="116"/>
      <c r="CD162" s="116"/>
      <c r="CE162" s="116"/>
      <c r="CF162" s="116"/>
      <c r="CG162" s="116">
        <v>9950000</v>
      </c>
      <c r="CH162" s="116"/>
      <c r="CI162" s="116"/>
      <c r="CJ162" s="116"/>
      <c r="CK162" s="116">
        <v>0</v>
      </c>
      <c r="CL162" s="116">
        <v>9950000</v>
      </c>
      <c r="CM162" s="119" t="s">
        <v>341</v>
      </c>
      <c r="CN162" s="120" t="s">
        <v>230</v>
      </c>
    </row>
    <row r="163" spans="1:93" s="120" customFormat="1" ht="25.5" x14ac:dyDescent="0.2">
      <c r="B163" s="99">
        <f t="shared" si="61"/>
        <v>155</v>
      </c>
      <c r="C163" s="122" t="s">
        <v>342</v>
      </c>
      <c r="D163" s="123" t="s">
        <v>343</v>
      </c>
      <c r="E163" s="136" t="s">
        <v>109</v>
      </c>
      <c r="F163" s="100" t="s">
        <v>134</v>
      </c>
      <c r="G163" s="124"/>
      <c r="H163" s="124" t="s">
        <v>97</v>
      </c>
      <c r="I163" s="125"/>
      <c r="J163" s="126"/>
      <c r="K163" s="105">
        <v>7.4999999999999997E-2</v>
      </c>
      <c r="L163" s="106">
        <v>0.9</v>
      </c>
      <c r="M163" s="107">
        <v>9</v>
      </c>
      <c r="N163" s="107">
        <v>4</v>
      </c>
      <c r="O163" s="106">
        <v>12</v>
      </c>
      <c r="P163" s="128"/>
      <c r="Q163" s="128"/>
      <c r="R163" s="128"/>
      <c r="S163" s="128"/>
      <c r="T163" s="129"/>
      <c r="U163" s="128"/>
      <c r="V163" s="127"/>
      <c r="W163" s="128"/>
      <c r="X163" s="128"/>
      <c r="Y163" s="130"/>
      <c r="Z163" s="130"/>
      <c r="AA163" s="138"/>
      <c r="AB163" s="138"/>
      <c r="AC163" s="130"/>
      <c r="AD163" s="131"/>
      <c r="AE163" s="131"/>
      <c r="AF163" s="131"/>
      <c r="AG163" s="132"/>
      <c r="AH163" s="132"/>
      <c r="AI163" s="132"/>
      <c r="AJ163" s="132"/>
      <c r="AK163" s="132"/>
      <c r="AL163" s="111"/>
      <c r="AM163" s="111"/>
      <c r="AN163" s="111"/>
      <c r="AO163" s="111"/>
      <c r="AP163" s="111"/>
      <c r="AQ163" s="111"/>
      <c r="AR163" s="111">
        <f t="shared" si="62"/>
        <v>0</v>
      </c>
      <c r="AS163" s="111"/>
      <c r="AT163" s="111">
        <v>0</v>
      </c>
      <c r="AU163" s="111">
        <f t="shared" si="57"/>
        <v>0</v>
      </c>
      <c r="AV163" s="111"/>
      <c r="AW163" s="111"/>
      <c r="AX163" s="111"/>
      <c r="AY163" s="111"/>
      <c r="AZ163" s="111"/>
      <c r="BA163" s="300">
        <f t="shared" si="67"/>
        <v>157959.375</v>
      </c>
      <c r="BB163" s="111"/>
      <c r="BC163" s="111"/>
      <c r="BD163" s="111">
        <v>120495</v>
      </c>
      <c r="BE163" s="111"/>
      <c r="BF163" s="111"/>
      <c r="BG163" s="111"/>
      <c r="BH163" s="111">
        <f t="shared" si="60"/>
        <v>37464.375</v>
      </c>
      <c r="BI163" s="111">
        <v>0</v>
      </c>
      <c r="BJ163" s="112"/>
      <c r="BK163" s="134"/>
      <c r="BL163" s="134"/>
      <c r="BM163" s="135"/>
      <c r="BN163" s="135"/>
      <c r="BO163" s="135"/>
      <c r="BP163" s="135"/>
      <c r="BQ163" s="114"/>
      <c r="BR163" s="114"/>
      <c r="BS163" s="136"/>
      <c r="BT163" s="136"/>
      <c r="BU163" s="136"/>
      <c r="BV163" s="115"/>
      <c r="BW163" s="115"/>
      <c r="BX163" s="116">
        <f t="shared" si="63"/>
        <v>0</v>
      </c>
      <c r="BY163" s="116"/>
      <c r="BZ163" s="116"/>
      <c r="CA163" s="116"/>
      <c r="CB163" s="116"/>
      <c r="CC163" s="116"/>
      <c r="CD163" s="116"/>
      <c r="CE163" s="116"/>
      <c r="CF163" s="116"/>
      <c r="CG163" s="116">
        <v>8300000</v>
      </c>
      <c r="CH163" s="116"/>
      <c r="CI163" s="116"/>
      <c r="CJ163" s="116"/>
      <c r="CK163" s="116">
        <v>0</v>
      </c>
      <c r="CL163" s="116">
        <v>8300000</v>
      </c>
      <c r="CM163" s="119" t="s">
        <v>341</v>
      </c>
      <c r="CN163" s="120" t="s">
        <v>109</v>
      </c>
    </row>
    <row r="164" spans="1:93" s="120" customFormat="1" ht="25.5" x14ac:dyDescent="0.2">
      <c r="B164" s="99">
        <f t="shared" si="61"/>
        <v>156</v>
      </c>
      <c r="C164" s="122" t="s">
        <v>345</v>
      </c>
      <c r="D164" s="123" t="s">
        <v>346</v>
      </c>
      <c r="E164" s="122" t="s">
        <v>95</v>
      </c>
      <c r="F164" s="100" t="s">
        <v>96</v>
      </c>
      <c r="G164" s="124"/>
      <c r="H164" s="124" t="s">
        <v>142</v>
      </c>
      <c r="I164" s="125"/>
      <c r="J164" s="126"/>
      <c r="K164" s="105">
        <v>7.4999999999999997E-2</v>
      </c>
      <c r="L164" s="127">
        <v>0.9</v>
      </c>
      <c r="M164" s="128">
        <v>9</v>
      </c>
      <c r="N164" s="128">
        <v>4</v>
      </c>
      <c r="O164" s="127">
        <v>12</v>
      </c>
      <c r="P164" s="128"/>
      <c r="Q164" s="128">
        <f t="shared" si="46"/>
        <v>0</v>
      </c>
      <c r="R164" s="128"/>
      <c r="S164" s="128"/>
      <c r="T164" s="129"/>
      <c r="U164" s="128"/>
      <c r="V164" s="127"/>
      <c r="W164" s="128"/>
      <c r="X164" s="128"/>
      <c r="Y164" s="130">
        <f t="shared" si="43"/>
        <v>0</v>
      </c>
      <c r="Z164" s="130"/>
      <c r="AA164" s="138"/>
      <c r="AB164" s="138"/>
      <c r="AC164" s="130"/>
      <c r="AD164" s="131"/>
      <c r="AE164" s="131"/>
      <c r="AF164" s="131"/>
      <c r="AG164" s="132"/>
      <c r="AH164" s="132"/>
      <c r="AI164" s="132"/>
      <c r="AJ164" s="132"/>
      <c r="AK164" s="132"/>
      <c r="AL164" s="111"/>
      <c r="AM164" s="111"/>
      <c r="AN164" s="111"/>
      <c r="AO164" s="111"/>
      <c r="AP164" s="111"/>
      <c r="AQ164" s="111"/>
      <c r="AR164" s="111">
        <f t="shared" si="62"/>
        <v>0</v>
      </c>
      <c r="AS164" s="111"/>
      <c r="AT164" s="111">
        <v>0</v>
      </c>
      <c r="AU164" s="111">
        <f t="shared" si="57"/>
        <v>0</v>
      </c>
      <c r="AV164" s="111"/>
      <c r="AW164" s="111"/>
      <c r="AX164" s="111"/>
      <c r="AY164" s="111">
        <v>61357.5</v>
      </c>
      <c r="AZ164" s="111"/>
      <c r="BA164" s="111">
        <f t="shared" si="59"/>
        <v>61357.5</v>
      </c>
      <c r="BB164" s="111"/>
      <c r="BC164" s="111"/>
      <c r="BD164" s="111"/>
      <c r="BE164" s="111"/>
      <c r="BF164" s="111"/>
      <c r="BG164" s="111"/>
      <c r="BH164" s="111">
        <f t="shared" si="60"/>
        <v>61357.5</v>
      </c>
      <c r="BI164" s="111"/>
      <c r="BJ164" s="112"/>
      <c r="BK164" s="134"/>
      <c r="BL164" s="134"/>
      <c r="BM164" s="135"/>
      <c r="BN164" s="135"/>
      <c r="BO164" s="135"/>
      <c r="BP164" s="135"/>
      <c r="BQ164" s="114"/>
      <c r="BR164" s="114"/>
      <c r="BS164" s="136"/>
      <c r="BT164" s="136"/>
      <c r="BU164" s="136"/>
      <c r="BV164" s="115"/>
      <c r="BW164" s="115"/>
      <c r="BX164" s="116">
        <f t="shared" si="63"/>
        <v>0</v>
      </c>
      <c r="BY164" s="116"/>
      <c r="BZ164" s="116"/>
      <c r="CA164" s="116"/>
      <c r="CB164" s="116"/>
      <c r="CC164" s="116"/>
      <c r="CD164" s="116">
        <v>2727000</v>
      </c>
      <c r="CE164" s="116"/>
      <c r="CF164" s="116"/>
      <c r="CG164" s="116"/>
      <c r="CH164" s="116"/>
      <c r="CI164" s="116"/>
      <c r="CJ164" s="116"/>
      <c r="CK164" s="116"/>
      <c r="CL164" s="116">
        <v>2727000</v>
      </c>
      <c r="CM164" s="119" t="s">
        <v>105</v>
      </c>
      <c r="CN164" s="120" t="s">
        <v>106</v>
      </c>
    </row>
    <row r="165" spans="1:93" s="118" customFormat="1" ht="25.5" x14ac:dyDescent="0.2">
      <c r="A165" s="118">
        <f>A160+1</f>
        <v>82</v>
      </c>
      <c r="B165" s="99">
        <f t="shared" si="61"/>
        <v>157</v>
      </c>
      <c r="C165" s="100" t="s">
        <v>347</v>
      </c>
      <c r="D165" s="101" t="s">
        <v>348</v>
      </c>
      <c r="E165" s="100" t="s">
        <v>95</v>
      </c>
      <c r="F165" s="100" t="s">
        <v>96</v>
      </c>
      <c r="G165" s="103">
        <v>43586</v>
      </c>
      <c r="H165" s="218" t="s">
        <v>171</v>
      </c>
      <c r="I165" s="104">
        <v>1000000</v>
      </c>
      <c r="J165" s="105">
        <v>7.7499999999999999E-2</v>
      </c>
      <c r="K165" s="105">
        <v>7.4999999999999997E-2</v>
      </c>
      <c r="L165" s="106">
        <v>0.9</v>
      </c>
      <c r="M165" s="107">
        <v>7</v>
      </c>
      <c r="N165" s="107">
        <v>2</v>
      </c>
      <c r="O165" s="106">
        <v>12</v>
      </c>
      <c r="P165" s="107">
        <f t="shared" si="65"/>
        <v>40687.5</v>
      </c>
      <c r="Q165" s="107">
        <f t="shared" si="46"/>
        <v>606656.06589831901</v>
      </c>
      <c r="R165" s="107">
        <f t="shared" si="47"/>
        <v>24683.318681237855</v>
      </c>
      <c r="S165" s="107">
        <f t="shared" si="48"/>
        <v>16004.181318762145</v>
      </c>
      <c r="T165" s="108">
        <v>0.606656065898319</v>
      </c>
      <c r="U165" s="107"/>
      <c r="V165" s="106"/>
      <c r="W165" s="107">
        <f t="shared" si="42"/>
        <v>606656.06589831901</v>
      </c>
      <c r="X165" s="107">
        <f t="shared" si="42"/>
        <v>24683.318681237855</v>
      </c>
      <c r="Y165" s="109">
        <f t="shared" si="43"/>
        <v>606656.06589831901</v>
      </c>
      <c r="Z165" s="109">
        <f t="shared" si="43"/>
        <v>24683.318681237855</v>
      </c>
      <c r="AA165" s="109"/>
      <c r="AB165" s="109"/>
      <c r="AC165" s="109">
        <f t="shared" si="49"/>
        <v>24683.318681237855</v>
      </c>
      <c r="AD165" s="110">
        <v>424659.24612882326</v>
      </c>
      <c r="AE165" s="110">
        <f t="shared" si="58"/>
        <v>471843.60680980363</v>
      </c>
      <c r="AF165" s="110"/>
      <c r="AG165" s="111"/>
      <c r="AH165" s="111"/>
      <c r="AI165" s="111"/>
      <c r="AJ165" s="111"/>
      <c r="AK165" s="111"/>
      <c r="AL165" s="111">
        <f t="shared" si="44"/>
        <v>24683.318681237855</v>
      </c>
      <c r="AM165" s="111"/>
      <c r="AN165" s="111"/>
      <c r="AO165" s="111"/>
      <c r="AP165" s="111">
        <f t="shared" si="39"/>
        <v>24683.318681237855</v>
      </c>
      <c r="AQ165" s="111"/>
      <c r="AR165" s="111">
        <f t="shared" si="62"/>
        <v>24683.318681237855</v>
      </c>
      <c r="AS165" s="111">
        <v>-24683.32</v>
      </c>
      <c r="AT165" s="111">
        <v>0</v>
      </c>
      <c r="AU165" s="111">
        <f t="shared" si="57"/>
        <v>24683.318681237855</v>
      </c>
      <c r="AV165" s="111"/>
      <c r="AW165" s="111"/>
      <c r="AX165" s="111"/>
      <c r="AY165" s="111">
        <v>0</v>
      </c>
      <c r="AZ165" s="111"/>
      <c r="BA165" s="85">
        <f t="shared" si="59"/>
        <v>0</v>
      </c>
      <c r="BB165" s="85"/>
      <c r="BC165" s="85"/>
      <c r="BD165" s="85"/>
      <c r="BE165" s="85"/>
      <c r="BF165" s="85"/>
      <c r="BG165" s="85"/>
      <c r="BH165" s="111">
        <f t="shared" si="60"/>
        <v>0</v>
      </c>
      <c r="BI165" s="111"/>
      <c r="BJ165" s="112">
        <f t="shared" si="64"/>
        <v>530824.05766102916</v>
      </c>
      <c r="BK165" s="112"/>
      <c r="BL165" s="112"/>
      <c r="BM165" s="113"/>
      <c r="BN165" s="113"/>
      <c r="BO165" s="113"/>
      <c r="BP165" s="113"/>
      <c r="BQ165" s="114">
        <f t="shared" si="45"/>
        <v>530824.05766102916</v>
      </c>
      <c r="BR165" s="114">
        <f t="shared" si="40"/>
        <v>606656.06589831901</v>
      </c>
      <c r="BS165" s="98"/>
      <c r="BT165" s="98"/>
      <c r="BU165" s="98"/>
      <c r="BV165" s="115">
        <f t="shared" si="41"/>
        <v>707765.41021470551</v>
      </c>
      <c r="BW165" s="115"/>
      <c r="BX165" s="116">
        <f t="shared" si="63"/>
        <v>1097036.3858327938</v>
      </c>
      <c r="BY165" s="116">
        <v>0</v>
      </c>
      <c r="BZ165" s="116"/>
      <c r="CA165" s="116"/>
      <c r="CB165" s="116"/>
      <c r="CC165" s="116"/>
      <c r="CD165" s="116">
        <v>0</v>
      </c>
      <c r="CE165" s="116"/>
      <c r="CF165" s="116"/>
      <c r="CG165" s="116"/>
      <c r="CH165" s="116"/>
      <c r="CI165" s="116"/>
      <c r="CJ165" s="116"/>
      <c r="CK165" s="116">
        <v>0</v>
      </c>
      <c r="CL165" s="116">
        <v>1000000</v>
      </c>
      <c r="CM165" s="217" t="s">
        <v>349</v>
      </c>
      <c r="CN165" s="118" t="s">
        <v>95</v>
      </c>
    </row>
    <row r="166" spans="1:93" s="118" customFormat="1" ht="25.5" x14ac:dyDescent="0.2">
      <c r="A166" s="118">
        <f>A165+1</f>
        <v>83</v>
      </c>
      <c r="B166" s="99">
        <f t="shared" si="61"/>
        <v>158</v>
      </c>
      <c r="C166" s="100" t="s">
        <v>350</v>
      </c>
      <c r="D166" s="101" t="s">
        <v>351</v>
      </c>
      <c r="E166" s="100" t="s">
        <v>95</v>
      </c>
      <c r="F166" s="100" t="s">
        <v>96</v>
      </c>
      <c r="G166" s="103">
        <v>43586</v>
      </c>
      <c r="H166" s="218" t="s">
        <v>171</v>
      </c>
      <c r="I166" s="104">
        <v>1000000</v>
      </c>
      <c r="J166" s="105">
        <v>7.7499999999999999E-2</v>
      </c>
      <c r="K166" s="105">
        <v>7.4999999999999997E-2</v>
      </c>
      <c r="L166" s="106">
        <v>0.9</v>
      </c>
      <c r="M166" s="107">
        <v>7</v>
      </c>
      <c r="N166" s="107">
        <v>3</v>
      </c>
      <c r="O166" s="106">
        <v>12</v>
      </c>
      <c r="P166" s="107">
        <f t="shared" si="65"/>
        <v>40687.5</v>
      </c>
      <c r="Q166" s="107">
        <f t="shared" si="46"/>
        <v>606656.06589831901</v>
      </c>
      <c r="R166" s="107">
        <f t="shared" si="47"/>
        <v>24683.318681237855</v>
      </c>
      <c r="S166" s="107">
        <f t="shared" si="48"/>
        <v>16004.181318762145</v>
      </c>
      <c r="T166" s="108">
        <v>0.606656065898319</v>
      </c>
      <c r="U166" s="107"/>
      <c r="V166" s="106"/>
      <c r="W166" s="107">
        <f t="shared" si="42"/>
        <v>606656.06589831901</v>
      </c>
      <c r="X166" s="107">
        <f t="shared" si="42"/>
        <v>24683.318681237855</v>
      </c>
      <c r="Y166" s="109">
        <f t="shared" si="43"/>
        <v>606656.06589831901</v>
      </c>
      <c r="Z166" s="109">
        <f t="shared" si="43"/>
        <v>24683.318681237855</v>
      </c>
      <c r="AA166" s="109"/>
      <c r="AB166" s="109"/>
      <c r="AC166" s="109">
        <f t="shared" si="49"/>
        <v>24683.318681237855</v>
      </c>
      <c r="AD166" s="110">
        <v>424659.24612882326</v>
      </c>
      <c r="AE166" s="110">
        <f t="shared" si="58"/>
        <v>471843.60680980363</v>
      </c>
      <c r="AF166" s="110"/>
      <c r="AG166" s="111"/>
      <c r="AH166" s="111"/>
      <c r="AI166" s="111"/>
      <c r="AJ166" s="111"/>
      <c r="AK166" s="111"/>
      <c r="AL166" s="111">
        <f t="shared" si="44"/>
        <v>24683.318681237855</v>
      </c>
      <c r="AM166" s="111"/>
      <c r="AN166" s="111"/>
      <c r="AO166" s="111"/>
      <c r="AP166" s="111">
        <f t="shared" si="39"/>
        <v>24683.318681237855</v>
      </c>
      <c r="AQ166" s="111"/>
      <c r="AR166" s="111">
        <f t="shared" si="62"/>
        <v>24683.318681237855</v>
      </c>
      <c r="AS166" s="111">
        <v>-24683.32</v>
      </c>
      <c r="AT166" s="111">
        <v>0</v>
      </c>
      <c r="AU166" s="111">
        <f t="shared" si="57"/>
        <v>24683.318681237855</v>
      </c>
      <c r="AV166" s="111"/>
      <c r="AW166" s="111"/>
      <c r="AX166" s="111"/>
      <c r="AY166" s="111">
        <v>0</v>
      </c>
      <c r="AZ166" s="111"/>
      <c r="BA166" s="85">
        <f t="shared" si="59"/>
        <v>0</v>
      </c>
      <c r="BB166" s="85"/>
      <c r="BC166" s="85"/>
      <c r="BD166" s="85"/>
      <c r="BE166" s="85"/>
      <c r="BF166" s="85"/>
      <c r="BG166" s="85"/>
      <c r="BH166" s="111">
        <f t="shared" si="60"/>
        <v>0</v>
      </c>
      <c r="BI166" s="111"/>
      <c r="BJ166" s="112">
        <f t="shared" si="64"/>
        <v>530824.05766102916</v>
      </c>
      <c r="BK166" s="112"/>
      <c r="BL166" s="112"/>
      <c r="BM166" s="113"/>
      <c r="BN166" s="113"/>
      <c r="BO166" s="113"/>
      <c r="BP166" s="113"/>
      <c r="BQ166" s="114">
        <f t="shared" si="45"/>
        <v>530824.05766102916</v>
      </c>
      <c r="BR166" s="114">
        <f t="shared" si="40"/>
        <v>606656.06589831901</v>
      </c>
      <c r="BS166" s="98"/>
      <c r="BT166" s="98"/>
      <c r="BU166" s="98"/>
      <c r="BV166" s="115">
        <f t="shared" si="41"/>
        <v>707765.41021470551</v>
      </c>
      <c r="BW166" s="115"/>
      <c r="BX166" s="116">
        <f t="shared" si="63"/>
        <v>1097036.3858327938</v>
      </c>
      <c r="BY166" s="116">
        <v>0</v>
      </c>
      <c r="BZ166" s="116"/>
      <c r="CA166" s="116"/>
      <c r="CB166" s="116"/>
      <c r="CC166" s="116"/>
      <c r="CD166" s="116">
        <v>0</v>
      </c>
      <c r="CE166" s="116"/>
      <c r="CF166" s="116"/>
      <c r="CG166" s="116"/>
      <c r="CH166" s="116"/>
      <c r="CI166" s="116"/>
      <c r="CJ166" s="116"/>
      <c r="CK166" s="116">
        <v>0</v>
      </c>
      <c r="CL166" s="116">
        <v>0</v>
      </c>
      <c r="CM166" s="217"/>
      <c r="CN166" s="118" t="s">
        <v>95</v>
      </c>
    </row>
    <row r="167" spans="1:93" s="120" customFormat="1" ht="25.5" x14ac:dyDescent="0.2">
      <c r="A167" s="120">
        <f>A166+1</f>
        <v>84</v>
      </c>
      <c r="B167" s="99">
        <f t="shared" si="61"/>
        <v>159</v>
      </c>
      <c r="C167" s="122" t="s">
        <v>352</v>
      </c>
      <c r="D167" s="123" t="s">
        <v>353</v>
      </c>
      <c r="E167" s="122" t="s">
        <v>133</v>
      </c>
      <c r="F167" s="100" t="s">
        <v>96</v>
      </c>
      <c r="G167" s="124">
        <v>43497</v>
      </c>
      <c r="H167" s="124">
        <v>43497</v>
      </c>
      <c r="I167" s="125">
        <v>4000000</v>
      </c>
      <c r="J167" s="126">
        <v>7.7499999999999999E-2</v>
      </c>
      <c r="K167" s="105">
        <v>7.4999999999999997E-2</v>
      </c>
      <c r="L167" s="127">
        <v>0.9</v>
      </c>
      <c r="M167" s="128">
        <v>10</v>
      </c>
      <c r="N167" s="128"/>
      <c r="O167" s="127">
        <v>12</v>
      </c>
      <c r="P167" s="128">
        <f t="shared" si="65"/>
        <v>232500</v>
      </c>
      <c r="Q167" s="128">
        <f t="shared" si="46"/>
        <v>2426624.263593276</v>
      </c>
      <c r="R167" s="128">
        <f t="shared" si="47"/>
        <v>141047.53532135917</v>
      </c>
      <c r="S167" s="128">
        <f t="shared" si="48"/>
        <v>91452.464678640827</v>
      </c>
      <c r="T167" s="129">
        <v>0.606656065898319</v>
      </c>
      <c r="U167" s="172">
        <v>3000000</v>
      </c>
      <c r="V167" s="141">
        <v>174375</v>
      </c>
      <c r="W167" s="128">
        <f t="shared" si="42"/>
        <v>-573375.73640672397</v>
      </c>
      <c r="X167" s="128">
        <f t="shared" si="42"/>
        <v>-33327.464678640827</v>
      </c>
      <c r="Y167" s="130">
        <f t="shared" si="43"/>
        <v>-573375.73640672397</v>
      </c>
      <c r="Z167" s="130">
        <f t="shared" si="43"/>
        <v>-33327.464678640827</v>
      </c>
      <c r="AA167" s="130"/>
      <c r="AB167" s="130"/>
      <c r="AC167" s="130">
        <f t="shared" si="49"/>
        <v>-33327.464678640827</v>
      </c>
      <c r="AD167" s="131">
        <v>-573375.73640672385</v>
      </c>
      <c r="AE167" s="131">
        <f t="shared" si="58"/>
        <v>-637084.15156302659</v>
      </c>
      <c r="AF167" s="131"/>
      <c r="AG167" s="132"/>
      <c r="AH167" s="132"/>
      <c r="AI167" s="132"/>
      <c r="AJ167" s="132"/>
      <c r="AK167" s="132"/>
      <c r="AL167" s="111">
        <f t="shared" si="44"/>
        <v>-33327.464678640827</v>
      </c>
      <c r="AM167" s="111"/>
      <c r="AN167" s="111"/>
      <c r="AO167" s="111"/>
      <c r="AP167" s="111">
        <f t="shared" ref="AP167:AP260" si="68">AL167-AM167-AN167-AO167</f>
        <v>-33327.464678640827</v>
      </c>
      <c r="AQ167" s="111"/>
      <c r="AR167" s="111">
        <f t="shared" si="62"/>
        <v>-33327.464678640827</v>
      </c>
      <c r="AS167" s="111"/>
      <c r="AT167" s="111">
        <v>0</v>
      </c>
      <c r="AU167" s="111"/>
      <c r="AV167" s="111"/>
      <c r="AW167" s="111"/>
      <c r="AX167" s="111"/>
      <c r="AY167" s="111"/>
      <c r="AZ167" s="111"/>
      <c r="BA167" s="85">
        <f t="shared" si="59"/>
        <v>0</v>
      </c>
      <c r="BB167" s="85"/>
      <c r="BC167" s="85"/>
      <c r="BD167" s="85"/>
      <c r="BE167" s="85"/>
      <c r="BF167" s="85"/>
      <c r="BG167" s="85"/>
      <c r="BH167" s="111">
        <f t="shared" si="60"/>
        <v>0</v>
      </c>
      <c r="BI167" s="111"/>
      <c r="BJ167" s="133">
        <f t="shared" si="64"/>
        <v>-716719.67050840484</v>
      </c>
      <c r="BK167" s="134"/>
      <c r="BL167" s="134"/>
      <c r="BM167" s="135"/>
      <c r="BN167" s="135"/>
      <c r="BO167" s="135"/>
      <c r="BP167" s="135"/>
      <c r="BQ167" s="114">
        <f t="shared" si="45"/>
        <v>-716719.67050840484</v>
      </c>
      <c r="BR167" s="114">
        <f t="shared" ref="BR167:BR260" si="69">AL167/J167/L167/7*O167</f>
        <v>-819108.19486674829</v>
      </c>
      <c r="BS167" s="136"/>
      <c r="BT167" s="136"/>
      <c r="BU167" s="136"/>
      <c r="BV167" s="115">
        <f t="shared" ref="BV167:BV260" si="70">AP167/J167/L167/6*O167</f>
        <v>-955626.22734453995</v>
      </c>
      <c r="BW167" s="115"/>
      <c r="BX167" s="116">
        <f t="shared" si="63"/>
        <v>-1481220.6523840367</v>
      </c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>
        <v>0</v>
      </c>
      <c r="CL167" s="116"/>
      <c r="CM167" s="119"/>
    </row>
    <row r="168" spans="1:93" s="174" customFormat="1" ht="25.5" customHeight="1" x14ac:dyDescent="0.2">
      <c r="B168" s="145">
        <f t="shared" si="61"/>
        <v>160</v>
      </c>
      <c r="C168" s="204" t="s">
        <v>352</v>
      </c>
      <c r="D168" s="224" t="s">
        <v>353</v>
      </c>
      <c r="E168" s="204" t="s">
        <v>95</v>
      </c>
      <c r="F168" s="148" t="s">
        <v>96</v>
      </c>
      <c r="G168" s="205"/>
      <c r="H168" s="205" t="s">
        <v>354</v>
      </c>
      <c r="I168" s="206">
        <v>0</v>
      </c>
      <c r="J168" s="207"/>
      <c r="K168" s="151">
        <v>7.2499999999999995E-2</v>
      </c>
      <c r="L168" s="220">
        <v>0.9</v>
      </c>
      <c r="M168" s="208">
        <v>3</v>
      </c>
      <c r="N168" s="208">
        <v>2.5</v>
      </c>
      <c r="O168" s="220">
        <v>12</v>
      </c>
      <c r="P168" s="208">
        <f>I168*K168*L168*M168/O168</f>
        <v>0</v>
      </c>
      <c r="Q168" s="208">
        <f t="shared" si="46"/>
        <v>0</v>
      </c>
      <c r="R168" s="208"/>
      <c r="S168" s="208"/>
      <c r="T168" s="209"/>
      <c r="U168" s="222"/>
      <c r="V168" s="223"/>
      <c r="W168" s="208"/>
      <c r="X168" s="208"/>
      <c r="Y168" s="210"/>
      <c r="Z168" s="210"/>
      <c r="AA168" s="210"/>
      <c r="AB168" s="210"/>
      <c r="AC168" s="210"/>
      <c r="AD168" s="211"/>
      <c r="AE168" s="211"/>
      <c r="AF168" s="211"/>
      <c r="AG168" s="198"/>
      <c r="AH168" s="198"/>
      <c r="AI168" s="198"/>
      <c r="AJ168" s="198"/>
      <c r="AK168" s="198"/>
      <c r="AL168" s="83"/>
      <c r="AM168" s="83"/>
      <c r="AN168" s="83"/>
      <c r="AO168" s="83"/>
      <c r="AP168" s="83"/>
      <c r="AQ168" s="83"/>
      <c r="AR168" s="83">
        <f t="shared" si="62"/>
        <v>0</v>
      </c>
      <c r="AS168" s="83"/>
      <c r="AT168" s="83">
        <v>0</v>
      </c>
      <c r="AU168" s="83">
        <f>AR168-AT168</f>
        <v>0</v>
      </c>
      <c r="AV168" s="83"/>
      <c r="AW168" s="83"/>
      <c r="AX168" s="83"/>
      <c r="AY168" s="83"/>
      <c r="AZ168" s="83"/>
      <c r="BA168" s="368">
        <f t="shared" ref="BA168:BA169" si="71">CL168*7.25%*0.9*3.5/12</f>
        <v>38062.5</v>
      </c>
      <c r="BB168" s="83"/>
      <c r="BC168" s="83"/>
      <c r="BD168" s="83"/>
      <c r="BE168" s="83"/>
      <c r="BF168" s="83"/>
      <c r="BG168" s="83"/>
      <c r="BH168" s="83">
        <f t="shared" si="60"/>
        <v>38062.5</v>
      </c>
      <c r="BI168" s="83">
        <f>CK168*K168*L168*N168/O168</f>
        <v>27187.5</v>
      </c>
      <c r="BJ168" s="212"/>
      <c r="BK168" s="213"/>
      <c r="BL168" s="213"/>
      <c r="BM168" s="214"/>
      <c r="BN168" s="214"/>
      <c r="BO168" s="214"/>
      <c r="BP168" s="214"/>
      <c r="BQ168" s="160"/>
      <c r="BR168" s="160"/>
      <c r="BS168" s="215"/>
      <c r="BT168" s="215"/>
      <c r="BU168" s="215"/>
      <c r="BV168" s="162"/>
      <c r="BW168" s="162"/>
      <c r="BX168" s="95">
        <f t="shared" si="63"/>
        <v>0</v>
      </c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>
        <v>2000000</v>
      </c>
      <c r="CL168" s="95">
        <v>2000000</v>
      </c>
      <c r="CM168" s="216" t="s">
        <v>105</v>
      </c>
      <c r="CN168" s="174" t="s">
        <v>106</v>
      </c>
    </row>
    <row r="169" spans="1:93" s="174" customFormat="1" ht="25.5" hidden="1" customHeight="1" x14ac:dyDescent="0.2">
      <c r="B169" s="145">
        <f t="shared" si="61"/>
        <v>161</v>
      </c>
      <c r="C169" s="204" t="s">
        <v>352</v>
      </c>
      <c r="D169" s="224" t="s">
        <v>353</v>
      </c>
      <c r="E169" s="204" t="s">
        <v>95</v>
      </c>
      <c r="F169" s="148" t="s">
        <v>96</v>
      </c>
      <c r="G169" s="205"/>
      <c r="H169" s="205"/>
      <c r="I169" s="206"/>
      <c r="J169" s="207"/>
      <c r="K169" s="151">
        <v>7.2499999999999995E-2</v>
      </c>
      <c r="L169" s="152">
        <v>0.9</v>
      </c>
      <c r="M169" s="153">
        <v>9</v>
      </c>
      <c r="N169" s="153">
        <v>4</v>
      </c>
      <c r="O169" s="152">
        <v>12</v>
      </c>
      <c r="P169" s="208"/>
      <c r="Q169" s="208"/>
      <c r="R169" s="208"/>
      <c r="S169" s="208"/>
      <c r="T169" s="209"/>
      <c r="U169" s="222"/>
      <c r="V169" s="223"/>
      <c r="W169" s="208"/>
      <c r="X169" s="208"/>
      <c r="Y169" s="210"/>
      <c r="Z169" s="210"/>
      <c r="AA169" s="210"/>
      <c r="AB169" s="210"/>
      <c r="AC169" s="210"/>
      <c r="AD169" s="211"/>
      <c r="AE169" s="211"/>
      <c r="AF169" s="211"/>
      <c r="AG169" s="198"/>
      <c r="AH169" s="198"/>
      <c r="AI169" s="198"/>
      <c r="AJ169" s="198"/>
      <c r="AK169" s="198"/>
      <c r="AL169" s="83"/>
      <c r="AM169" s="83"/>
      <c r="AN169" s="83"/>
      <c r="AO169" s="83"/>
      <c r="AP169" s="83"/>
      <c r="AQ169" s="83"/>
      <c r="AR169" s="83">
        <f t="shared" si="62"/>
        <v>0</v>
      </c>
      <c r="AS169" s="83"/>
      <c r="AT169" s="83">
        <v>0</v>
      </c>
      <c r="AU169" s="83">
        <f>AR169-AT169</f>
        <v>0</v>
      </c>
      <c r="AV169" s="83"/>
      <c r="AW169" s="83"/>
      <c r="AX169" s="83"/>
      <c r="AY169" s="83"/>
      <c r="AZ169" s="83"/>
      <c r="BA169" s="368">
        <f t="shared" si="71"/>
        <v>38062.5</v>
      </c>
      <c r="BB169" s="83"/>
      <c r="BC169" s="83"/>
      <c r="BD169" s="83"/>
      <c r="BE169" s="83"/>
      <c r="BF169" s="83"/>
      <c r="BG169" s="83"/>
      <c r="BH169" s="83">
        <f t="shared" si="60"/>
        <v>38062.5</v>
      </c>
      <c r="BI169" s="83">
        <v>0</v>
      </c>
      <c r="BJ169" s="212"/>
      <c r="BK169" s="213"/>
      <c r="BL169" s="213"/>
      <c r="BM169" s="214"/>
      <c r="BN169" s="214"/>
      <c r="BO169" s="214"/>
      <c r="BP169" s="214"/>
      <c r="BQ169" s="160"/>
      <c r="BR169" s="160"/>
      <c r="BS169" s="215"/>
      <c r="BT169" s="215"/>
      <c r="BU169" s="215"/>
      <c r="BV169" s="162"/>
      <c r="BW169" s="162"/>
      <c r="BX169" s="95">
        <f t="shared" si="63"/>
        <v>0</v>
      </c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>
        <v>0</v>
      </c>
      <c r="CL169" s="95">
        <v>2000000</v>
      </c>
      <c r="CM169" s="216" t="s">
        <v>105</v>
      </c>
      <c r="CN169" s="174" t="s">
        <v>106</v>
      </c>
    </row>
    <row r="170" spans="1:93" s="2" customFormat="1" ht="39.75" customHeight="1" x14ac:dyDescent="0.2">
      <c r="A170" s="2">
        <f>A167+1</f>
        <v>85</v>
      </c>
      <c r="B170" s="145">
        <v>161</v>
      </c>
      <c r="C170" s="148" t="s">
        <v>355</v>
      </c>
      <c r="D170" s="164" t="s">
        <v>356</v>
      </c>
      <c r="E170" s="148" t="s">
        <v>357</v>
      </c>
      <c r="F170" s="148" t="s">
        <v>96</v>
      </c>
      <c r="G170" s="149">
        <v>43647</v>
      </c>
      <c r="H170" s="149" t="s">
        <v>97</v>
      </c>
      <c r="I170" s="150">
        <v>5000000</v>
      </c>
      <c r="J170" s="151">
        <v>7.7499999999999999E-2</v>
      </c>
      <c r="K170" s="151">
        <v>7.2499999999999995E-2</v>
      </c>
      <c r="L170" s="152">
        <v>0.9</v>
      </c>
      <c r="M170" s="153">
        <v>5</v>
      </c>
      <c r="N170" s="153">
        <v>2.5</v>
      </c>
      <c r="O170" s="152">
        <v>12</v>
      </c>
      <c r="P170" s="153">
        <f>I170*J170*L170*M170/O170</f>
        <v>145312.5</v>
      </c>
      <c r="Q170" s="153">
        <f t="shared" si="46"/>
        <v>3033280.3294915948</v>
      </c>
      <c r="R170" s="153">
        <f t="shared" si="47"/>
        <v>88154.709575849469</v>
      </c>
      <c r="S170" s="153">
        <f t="shared" si="48"/>
        <v>57157.790424150531</v>
      </c>
      <c r="T170" s="154">
        <v>0.606656065898319</v>
      </c>
      <c r="U170" s="153"/>
      <c r="V170" s="152"/>
      <c r="W170" s="153">
        <f t="shared" si="42"/>
        <v>3033280.3294915948</v>
      </c>
      <c r="X170" s="153">
        <f t="shared" si="42"/>
        <v>88154.709575849469</v>
      </c>
      <c r="Y170" s="155">
        <f t="shared" si="43"/>
        <v>3033280.3294915948</v>
      </c>
      <c r="Z170" s="155">
        <f t="shared" si="43"/>
        <v>88154.709575849469</v>
      </c>
      <c r="AA170" s="155"/>
      <c r="AB170" s="155"/>
      <c r="AC170" s="155">
        <f t="shared" si="49"/>
        <v>88154.709575849469</v>
      </c>
      <c r="AD170" s="156">
        <v>1516640.1647457974</v>
      </c>
      <c r="AE170" s="156">
        <f t="shared" si="58"/>
        <v>1685155.7386064413</v>
      </c>
      <c r="AF170" s="156"/>
      <c r="AG170" s="83"/>
      <c r="AH170" s="83"/>
      <c r="AI170" s="83"/>
      <c r="AJ170" s="83"/>
      <c r="AK170" s="83"/>
      <c r="AL170" s="83">
        <f t="shared" ref="AL170:AL262" si="72">AC170+AG170-AF170-AH170-AI170-AJ170-AK170</f>
        <v>88154.709575849469</v>
      </c>
      <c r="AM170" s="83"/>
      <c r="AN170" s="83"/>
      <c r="AO170" s="83"/>
      <c r="AP170" s="83">
        <f t="shared" si="68"/>
        <v>88154.709575849469</v>
      </c>
      <c r="AQ170" s="83"/>
      <c r="AR170" s="83">
        <f t="shared" si="62"/>
        <v>88154.709575849469</v>
      </c>
      <c r="AS170" s="83"/>
      <c r="AT170" s="83">
        <f>BY170*K170*L170*N170/O170</f>
        <v>54375</v>
      </c>
      <c r="AU170" s="83">
        <f>AR170-AT170</f>
        <v>33779.709575849469</v>
      </c>
      <c r="AV170" s="83"/>
      <c r="AW170" s="83"/>
      <c r="AX170" s="83"/>
      <c r="AY170" s="83">
        <v>112500</v>
      </c>
      <c r="AZ170" s="83"/>
      <c r="BA170" s="83">
        <f t="shared" si="59"/>
        <v>112500</v>
      </c>
      <c r="BB170" s="83"/>
      <c r="BC170" s="83"/>
      <c r="BD170" s="83"/>
      <c r="BE170" s="83"/>
      <c r="BF170" s="83"/>
      <c r="BG170" s="83"/>
      <c r="BH170" s="83">
        <f t="shared" si="60"/>
        <v>112500</v>
      </c>
      <c r="BI170" s="83">
        <f>CK170*K170*L170*N170/O170</f>
        <v>67968.75</v>
      </c>
      <c r="BJ170" s="159">
        <f t="shared" si="64"/>
        <v>1895800.2059322465</v>
      </c>
      <c r="BK170" s="159"/>
      <c r="BL170" s="159"/>
      <c r="BM170" s="89"/>
      <c r="BN170" s="89"/>
      <c r="BO170" s="89"/>
      <c r="BP170" s="89"/>
      <c r="BQ170" s="160">
        <f t="shared" ref="BQ170:BQ262" si="73">BJ170-BK170+BL170-BM170-BN170-BO170-BP170</f>
        <v>1895800.2059322465</v>
      </c>
      <c r="BR170" s="160">
        <f t="shared" si="69"/>
        <v>2166628.8067797106</v>
      </c>
      <c r="BS170" s="161"/>
      <c r="BT170" s="161"/>
      <c r="BU170" s="161"/>
      <c r="BV170" s="162">
        <f t="shared" si="70"/>
        <v>2527733.6079096622</v>
      </c>
      <c r="BW170" s="162"/>
      <c r="BX170" s="95">
        <f t="shared" si="63"/>
        <v>4053090.0954413554</v>
      </c>
      <c r="BY170" s="95">
        <v>4000000</v>
      </c>
      <c r="BZ170" s="95"/>
      <c r="CA170" s="95"/>
      <c r="CB170" s="95"/>
      <c r="CC170" s="95"/>
      <c r="CD170" s="95">
        <v>5000000</v>
      </c>
      <c r="CE170" s="95"/>
      <c r="CF170" s="95"/>
      <c r="CG170" s="95"/>
      <c r="CH170" s="95"/>
      <c r="CI170" s="95"/>
      <c r="CJ170" s="95"/>
      <c r="CK170" s="95">
        <v>5000000</v>
      </c>
      <c r="CL170" s="95">
        <v>5000000</v>
      </c>
      <c r="CM170" s="170" t="s">
        <v>349</v>
      </c>
      <c r="CN170" s="145" t="s">
        <v>109</v>
      </c>
      <c r="CO170" s="170" t="s">
        <v>358</v>
      </c>
    </row>
    <row r="171" spans="1:93" s="196" customFormat="1" ht="25.5" x14ac:dyDescent="0.2">
      <c r="A171" s="196">
        <f>A170+1</f>
        <v>86</v>
      </c>
      <c r="B171" s="99">
        <f t="shared" si="61"/>
        <v>162</v>
      </c>
      <c r="C171" s="122" t="s">
        <v>359</v>
      </c>
      <c r="D171" s="123" t="s">
        <v>360</v>
      </c>
      <c r="E171" s="122" t="s">
        <v>133</v>
      </c>
      <c r="F171" s="100" t="s">
        <v>96</v>
      </c>
      <c r="G171" s="124">
        <v>43497</v>
      </c>
      <c r="H171" s="124">
        <v>43497</v>
      </c>
      <c r="I171" s="125">
        <v>12000000</v>
      </c>
      <c r="J171" s="197">
        <v>7.7499999999999999E-2</v>
      </c>
      <c r="K171" s="76">
        <v>7.4999999999999997E-2</v>
      </c>
      <c r="L171" s="175">
        <v>0.9</v>
      </c>
      <c r="M171" s="176">
        <v>10</v>
      </c>
      <c r="N171" s="176"/>
      <c r="O171" s="175">
        <v>12</v>
      </c>
      <c r="P171" s="128">
        <f>I171*J171*L171*M171/O171</f>
        <v>697500</v>
      </c>
      <c r="Q171" s="176">
        <f t="shared" si="46"/>
        <v>7279872.7907798281</v>
      </c>
      <c r="R171" s="128">
        <f t="shared" si="47"/>
        <v>423142.60596407746</v>
      </c>
      <c r="S171" s="128">
        <f t="shared" si="48"/>
        <v>274357.39403592254</v>
      </c>
      <c r="T171" s="129">
        <v>0.606656065898319</v>
      </c>
      <c r="U171" s="302">
        <v>18000000</v>
      </c>
      <c r="V171" s="303">
        <v>1046250</v>
      </c>
      <c r="W171" s="128">
        <f t="shared" ref="W171:X263" si="74">Q171-U171</f>
        <v>-10720127.209220171</v>
      </c>
      <c r="X171" s="128">
        <f t="shared" si="74"/>
        <v>-623107.3940359226</v>
      </c>
      <c r="Y171" s="130">
        <f t="shared" ref="Y171:Z263" si="75">SUM(W171)</f>
        <v>-10720127.209220171</v>
      </c>
      <c r="Z171" s="130">
        <f t="shared" si="75"/>
        <v>-623107.3940359226</v>
      </c>
      <c r="AA171" s="130"/>
      <c r="AB171" s="130"/>
      <c r="AC171" s="130">
        <f t="shared" si="49"/>
        <v>-623107.3940359226</v>
      </c>
      <c r="AD171" s="131">
        <v>-13866878.682033621</v>
      </c>
      <c r="AE171" s="131">
        <f t="shared" si="58"/>
        <v>-11911252.45468908</v>
      </c>
      <c r="AF171" s="131"/>
      <c r="AG171" s="132"/>
      <c r="AH171" s="132"/>
      <c r="AI171" s="132"/>
      <c r="AJ171" s="132"/>
      <c r="AK171" s="132"/>
      <c r="AL171" s="111">
        <f t="shared" si="72"/>
        <v>-623107.3940359226</v>
      </c>
      <c r="AM171" s="111"/>
      <c r="AN171" s="111"/>
      <c r="AO171" s="111"/>
      <c r="AP171" s="111">
        <f t="shared" si="68"/>
        <v>-623107.3940359226</v>
      </c>
      <c r="AQ171" s="111"/>
      <c r="AR171" s="111">
        <f t="shared" si="62"/>
        <v>-623107.3940359226</v>
      </c>
      <c r="AS171" s="111"/>
      <c r="AT171" s="111">
        <v>0</v>
      </c>
      <c r="AU171" s="111"/>
      <c r="AV171" s="111"/>
      <c r="AW171" s="111"/>
      <c r="AX171" s="111"/>
      <c r="AY171" s="111"/>
      <c r="AZ171" s="111"/>
      <c r="BA171" s="111">
        <f t="shared" si="59"/>
        <v>0</v>
      </c>
      <c r="BB171" s="111"/>
      <c r="BC171" s="111"/>
      <c r="BD171" s="111"/>
      <c r="BE171" s="111"/>
      <c r="BF171" s="111"/>
      <c r="BG171" s="111"/>
      <c r="BH171" s="111">
        <f t="shared" si="60"/>
        <v>0</v>
      </c>
      <c r="BI171" s="111"/>
      <c r="BJ171" s="133">
        <f t="shared" si="64"/>
        <v>-13400159.011525216</v>
      </c>
      <c r="BK171" s="134"/>
      <c r="BL171" s="134"/>
      <c r="BM171" s="135"/>
      <c r="BN171" s="135"/>
      <c r="BO171" s="135"/>
      <c r="BP171" s="135"/>
      <c r="BQ171" s="114">
        <f t="shared" si="73"/>
        <v>-13400159.011525216</v>
      </c>
      <c r="BR171" s="114">
        <f t="shared" si="69"/>
        <v>-15314467.441743106</v>
      </c>
      <c r="BS171" s="136"/>
      <c r="BT171" s="136"/>
      <c r="BU171" s="136"/>
      <c r="BV171" s="115">
        <f t="shared" si="70"/>
        <v>-17866878.682033621</v>
      </c>
      <c r="BW171" s="115"/>
      <c r="BX171" s="93">
        <f t="shared" si="63"/>
        <v>-27693661.957152117</v>
      </c>
      <c r="BY171" s="93"/>
      <c r="BZ171" s="93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116">
        <v>0</v>
      </c>
      <c r="CL171" s="93"/>
      <c r="CM171" s="199"/>
    </row>
    <row r="172" spans="1:93" s="196" customFormat="1" ht="25.5" customHeight="1" x14ac:dyDescent="0.2">
      <c r="B172" s="99">
        <f t="shared" si="61"/>
        <v>163</v>
      </c>
      <c r="C172" s="122" t="s">
        <v>359</v>
      </c>
      <c r="D172" s="123" t="s">
        <v>360</v>
      </c>
      <c r="E172" s="122" t="s">
        <v>361</v>
      </c>
      <c r="F172" s="100" t="s">
        <v>96</v>
      </c>
      <c r="G172" s="124">
        <v>43497</v>
      </c>
      <c r="H172" s="124">
        <v>43497</v>
      </c>
      <c r="I172" s="125">
        <v>8000000</v>
      </c>
      <c r="J172" s="197">
        <v>7.7499999999999999E-2</v>
      </c>
      <c r="K172" s="76">
        <v>7.4999999999999997E-2</v>
      </c>
      <c r="L172" s="175">
        <v>0.9</v>
      </c>
      <c r="M172" s="176">
        <v>10</v>
      </c>
      <c r="N172" s="176"/>
      <c r="O172" s="196">
        <v>12</v>
      </c>
      <c r="P172" s="128">
        <f>I172*J172*L172*M172/O173</f>
        <v>465000</v>
      </c>
      <c r="Q172" s="176">
        <f t="shared" ref="Q172:Q264" si="76">I172*0.606656065898319</f>
        <v>4853248.5271865521</v>
      </c>
      <c r="R172" s="128">
        <f>Q172*J172*L172*M172/O173</f>
        <v>282095.07064271835</v>
      </c>
      <c r="S172" s="128">
        <f t="shared" ref="S172:S264" si="77">P172-R172</f>
        <v>182904.92935728165</v>
      </c>
      <c r="T172" s="129">
        <v>0.606656065898319</v>
      </c>
      <c r="U172" s="302">
        <v>8000000</v>
      </c>
      <c r="V172" s="303">
        <v>465000</v>
      </c>
      <c r="W172" s="128">
        <f t="shared" si="74"/>
        <v>-3146751.4728134479</v>
      </c>
      <c r="X172" s="128">
        <f t="shared" si="74"/>
        <v>-182904.92935728165</v>
      </c>
      <c r="Y172" s="130">
        <f t="shared" si="75"/>
        <v>-3146751.4728134479</v>
      </c>
      <c r="Z172" s="130">
        <f t="shared" si="75"/>
        <v>-182904.92935728165</v>
      </c>
      <c r="AA172" s="138"/>
      <c r="AB172" s="138"/>
      <c r="AC172" s="130">
        <f t="shared" si="49"/>
        <v>-182904.92935728165</v>
      </c>
      <c r="AD172" s="131">
        <v>0</v>
      </c>
      <c r="AE172" s="131">
        <f>AC172/J172/L172/9*O173</f>
        <v>-3496390.525348275</v>
      </c>
      <c r="AF172" s="131"/>
      <c r="AG172" s="132"/>
      <c r="AH172" s="132"/>
      <c r="AI172" s="132"/>
      <c r="AJ172" s="132"/>
      <c r="AK172" s="132"/>
      <c r="AL172" s="111">
        <f t="shared" si="72"/>
        <v>-182904.92935728165</v>
      </c>
      <c r="AM172" s="111"/>
      <c r="AN172" s="111"/>
      <c r="AO172" s="111"/>
      <c r="AP172" s="111">
        <f t="shared" si="68"/>
        <v>-182904.92935728165</v>
      </c>
      <c r="AQ172" s="111"/>
      <c r="AR172" s="111">
        <f t="shared" si="62"/>
        <v>-182904.92935728165</v>
      </c>
      <c r="AS172" s="111"/>
      <c r="AT172" s="111">
        <v>0</v>
      </c>
      <c r="AU172" s="111"/>
      <c r="AV172" s="111"/>
      <c r="AW172" s="111"/>
      <c r="AX172" s="111"/>
      <c r="AY172" s="111"/>
      <c r="AZ172" s="111"/>
      <c r="BA172" s="111">
        <f t="shared" si="59"/>
        <v>0</v>
      </c>
      <c r="BB172" s="111"/>
      <c r="BC172" s="111"/>
      <c r="BD172" s="111"/>
      <c r="BE172" s="111"/>
      <c r="BF172" s="111"/>
      <c r="BG172" s="111"/>
      <c r="BH172" s="111">
        <f t="shared" si="60"/>
        <v>0</v>
      </c>
      <c r="BI172" s="111"/>
      <c r="BJ172" s="133">
        <f>AC172/J172/L172/8*O173</f>
        <v>-3933439.3410168095</v>
      </c>
      <c r="BK172" s="134"/>
      <c r="BL172" s="134"/>
      <c r="BM172" s="135"/>
      <c r="BN172" s="135"/>
      <c r="BO172" s="135"/>
      <c r="BP172" s="135"/>
      <c r="BQ172" s="114">
        <f t="shared" si="73"/>
        <v>-3933439.3410168095</v>
      </c>
      <c r="BR172" s="114">
        <f>AL172/J172/L172/7*O173</f>
        <v>-4495359.2468763534</v>
      </c>
      <c r="BS172" s="136"/>
      <c r="BT172" s="136"/>
      <c r="BU172" s="136"/>
      <c r="BV172" s="115">
        <f>AP172/J172/L172/6*O173</f>
        <v>-5244585.7880224129</v>
      </c>
      <c r="BW172" s="115"/>
      <c r="BX172" s="93">
        <f t="shared" si="63"/>
        <v>-8129107.9714347403</v>
      </c>
      <c r="BY172" s="93"/>
      <c r="BZ172" s="93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116">
        <v>0</v>
      </c>
      <c r="CL172" s="93"/>
      <c r="CM172" s="199" t="s">
        <v>362</v>
      </c>
    </row>
    <row r="173" spans="1:93" s="174" customFormat="1" ht="25.5" x14ac:dyDescent="0.2">
      <c r="B173" s="145">
        <f t="shared" si="61"/>
        <v>164</v>
      </c>
      <c r="C173" s="204" t="s">
        <v>359</v>
      </c>
      <c r="D173" s="224" t="s">
        <v>360</v>
      </c>
      <c r="E173" s="204" t="s">
        <v>95</v>
      </c>
      <c r="F173" s="148" t="s">
        <v>96</v>
      </c>
      <c r="G173" s="205"/>
      <c r="H173" s="205" t="s">
        <v>97</v>
      </c>
      <c r="I173" s="206">
        <v>0</v>
      </c>
      <c r="J173" s="207"/>
      <c r="K173" s="151">
        <v>7.2499999999999995E-2</v>
      </c>
      <c r="L173" s="152">
        <v>0.9</v>
      </c>
      <c r="M173" s="153">
        <v>5</v>
      </c>
      <c r="N173" s="153">
        <v>2.5</v>
      </c>
      <c r="O173" s="220">
        <v>12</v>
      </c>
      <c r="P173" s="208"/>
      <c r="Q173" s="208"/>
      <c r="R173" s="208"/>
      <c r="S173" s="208"/>
      <c r="T173" s="209"/>
      <c r="U173" s="304"/>
      <c r="V173" s="305"/>
      <c r="W173" s="208"/>
      <c r="X173" s="208"/>
      <c r="Y173" s="210"/>
      <c r="Z173" s="210"/>
      <c r="AA173" s="221"/>
      <c r="AB173" s="221"/>
      <c r="AC173" s="210"/>
      <c r="AD173" s="211"/>
      <c r="AE173" s="211"/>
      <c r="AF173" s="211"/>
      <c r="AG173" s="198"/>
      <c r="AH173" s="198"/>
      <c r="AI173" s="198"/>
      <c r="AJ173" s="198"/>
      <c r="AK173" s="198"/>
      <c r="AL173" s="83"/>
      <c r="AM173" s="83"/>
      <c r="AN173" s="83"/>
      <c r="AO173" s="83"/>
      <c r="AP173" s="83"/>
      <c r="AQ173" s="83"/>
      <c r="AR173" s="83">
        <f t="shared" si="62"/>
        <v>0</v>
      </c>
      <c r="AS173" s="83"/>
      <c r="AT173" s="83">
        <v>0</v>
      </c>
      <c r="AU173" s="83">
        <f t="shared" ref="AU173:AU184" si="78">AR173-AT173</f>
        <v>0</v>
      </c>
      <c r="AV173" s="83"/>
      <c r="AW173" s="83"/>
      <c r="AX173" s="83"/>
      <c r="AY173" s="83"/>
      <c r="AZ173" s="83"/>
      <c r="BA173" s="368">
        <f>CL173*7.25%*0.9*3.5/12</f>
        <v>285468.75</v>
      </c>
      <c r="BB173" s="83"/>
      <c r="BC173" s="83"/>
      <c r="BD173" s="83"/>
      <c r="BE173" s="83"/>
      <c r="BF173" s="83"/>
      <c r="BG173" s="83"/>
      <c r="BH173" s="83">
        <f t="shared" si="60"/>
        <v>285468.75</v>
      </c>
      <c r="BI173" s="83">
        <f>CK173*K173*L173*N173/O173</f>
        <v>203906.25</v>
      </c>
      <c r="BJ173" s="212"/>
      <c r="BK173" s="213"/>
      <c r="BL173" s="213"/>
      <c r="BM173" s="214"/>
      <c r="BN173" s="214"/>
      <c r="BO173" s="214"/>
      <c r="BP173" s="214"/>
      <c r="BQ173" s="160"/>
      <c r="BR173" s="160"/>
      <c r="BS173" s="215"/>
      <c r="BT173" s="215"/>
      <c r="BU173" s="215"/>
      <c r="BV173" s="162"/>
      <c r="BW173" s="162"/>
      <c r="BX173" s="95">
        <f t="shared" si="63"/>
        <v>0</v>
      </c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>
        <v>15000000</v>
      </c>
      <c r="CL173" s="95">
        <v>15000000</v>
      </c>
      <c r="CM173" s="170" t="s">
        <v>363</v>
      </c>
      <c r="CN173" s="171" t="s">
        <v>230</v>
      </c>
    </row>
    <row r="174" spans="1:93" s="97" customFormat="1" ht="25.5" x14ac:dyDescent="0.2">
      <c r="A174" s="97">
        <f>A171+1</f>
        <v>87</v>
      </c>
      <c r="B174" s="99">
        <f t="shared" si="61"/>
        <v>165</v>
      </c>
      <c r="C174" s="100" t="s">
        <v>364</v>
      </c>
      <c r="D174" s="101" t="s">
        <v>365</v>
      </c>
      <c r="E174" s="100" t="s">
        <v>133</v>
      </c>
      <c r="F174" s="100" t="s">
        <v>96</v>
      </c>
      <c r="G174" s="103">
        <v>43497</v>
      </c>
      <c r="H174" s="124" t="s">
        <v>171</v>
      </c>
      <c r="I174" s="104">
        <f>82000000</f>
        <v>82000000</v>
      </c>
      <c r="J174" s="105">
        <v>7.7499999999999999E-2</v>
      </c>
      <c r="K174" s="76">
        <v>7.4999999999999997E-2</v>
      </c>
      <c r="L174" s="106">
        <v>0.9</v>
      </c>
      <c r="M174" s="107">
        <v>10</v>
      </c>
      <c r="N174" s="107"/>
      <c r="O174" s="106">
        <v>12</v>
      </c>
      <c r="P174" s="107">
        <f t="shared" ref="P174:P264" si="79">I174*J174*L174*M174/O174</f>
        <v>4766250</v>
      </c>
      <c r="Q174" s="107">
        <f t="shared" si="76"/>
        <v>49745797.40366216</v>
      </c>
      <c r="R174" s="107">
        <f t="shared" ref="R174:R264" si="80">Q174*J174*L174*M174/O174</f>
        <v>2891474.4740878628</v>
      </c>
      <c r="S174" s="107">
        <f t="shared" si="77"/>
        <v>1874775.5259121372</v>
      </c>
      <c r="T174" s="108">
        <v>0.606656065898319</v>
      </c>
      <c r="U174" s="107"/>
      <c r="V174" s="106"/>
      <c r="W174" s="107">
        <f t="shared" si="74"/>
        <v>49745797.40366216</v>
      </c>
      <c r="X174" s="107">
        <f t="shared" si="74"/>
        <v>2891474.4740878628</v>
      </c>
      <c r="Y174" s="109">
        <f t="shared" si="75"/>
        <v>49745797.40366216</v>
      </c>
      <c r="Z174" s="109">
        <f t="shared" si="75"/>
        <v>2891474.4740878628</v>
      </c>
      <c r="AA174" s="109"/>
      <c r="AB174" s="109"/>
      <c r="AC174" s="109">
        <f t="shared" si="49"/>
        <v>2891474.4740878628</v>
      </c>
      <c r="AD174" s="110">
        <v>49745797.403662145</v>
      </c>
      <c r="AE174" s="110">
        <f t="shared" si="58"/>
        <v>55273108.226291277</v>
      </c>
      <c r="AF174" s="110"/>
      <c r="AG174" s="83">
        <v>-2891474.47</v>
      </c>
      <c r="AH174" s="111"/>
      <c r="AI174" s="111"/>
      <c r="AJ174" s="111"/>
      <c r="AK174" s="111"/>
      <c r="AL174" s="111">
        <f t="shared" si="72"/>
        <v>4.0878625586628914E-3</v>
      </c>
      <c r="AM174" s="111"/>
      <c r="AN174" s="111"/>
      <c r="AO174" s="111"/>
      <c r="AP174" s="111">
        <f t="shared" si="68"/>
        <v>4.0878625586628914E-3</v>
      </c>
      <c r="AQ174" s="111"/>
      <c r="AR174" s="82">
        <f t="shared" si="62"/>
        <v>4.0878625586628914E-3</v>
      </c>
      <c r="AS174" s="82"/>
      <c r="AT174" s="82">
        <v>0</v>
      </c>
      <c r="AU174" s="85">
        <f t="shared" si="78"/>
        <v>4.0878625586628914E-3</v>
      </c>
      <c r="AV174" s="85"/>
      <c r="AW174" s="86"/>
      <c r="AX174" s="86"/>
      <c r="AY174" s="85"/>
      <c r="AZ174" s="85"/>
      <c r="BA174" s="85">
        <f t="shared" si="59"/>
        <v>0</v>
      </c>
      <c r="BB174" s="85"/>
      <c r="BC174" s="85"/>
      <c r="BD174" s="85"/>
      <c r="BE174" s="85"/>
      <c r="BF174" s="85"/>
      <c r="BG174" s="85"/>
      <c r="BH174" s="111">
        <f t="shared" si="60"/>
        <v>0</v>
      </c>
      <c r="BI174" s="111"/>
      <c r="BJ174" s="112">
        <f t="shared" si="64"/>
        <v>62182246.754577689</v>
      </c>
      <c r="BK174" s="112"/>
      <c r="BL174" s="134">
        <v>-62182246.75</v>
      </c>
      <c r="BM174" s="135"/>
      <c r="BN174" s="113"/>
      <c r="BO174" s="113"/>
      <c r="BP174" s="113"/>
      <c r="BQ174" s="114">
        <f t="shared" si="73"/>
        <v>4.5776888728141785E-3</v>
      </c>
      <c r="BR174" s="114">
        <f t="shared" si="69"/>
        <v>0.10046974030507874</v>
      </c>
      <c r="BS174" s="98"/>
      <c r="BT174" s="98"/>
      <c r="BU174" s="98"/>
      <c r="BV174" s="115">
        <f t="shared" si="70"/>
        <v>0.11721469702259188</v>
      </c>
      <c r="BW174" s="115"/>
      <c r="BX174" s="93">
        <f t="shared" si="63"/>
        <v>0.1816827803850174</v>
      </c>
      <c r="BY174" s="93"/>
      <c r="BZ174" s="93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116">
        <v>0</v>
      </c>
      <c r="CL174" s="93"/>
      <c r="CM174" s="96"/>
    </row>
    <row r="175" spans="1:93" s="306" customFormat="1" ht="54" customHeight="1" x14ac:dyDescent="0.2">
      <c r="A175" s="306">
        <f>A174+1</f>
        <v>88</v>
      </c>
      <c r="B175" s="99">
        <f t="shared" si="61"/>
        <v>166</v>
      </c>
      <c r="C175" s="179" t="s">
        <v>366</v>
      </c>
      <c r="D175" s="101" t="s">
        <v>367</v>
      </c>
      <c r="E175" s="100" t="s">
        <v>133</v>
      </c>
      <c r="F175" s="100"/>
      <c r="G175" s="103">
        <v>43497</v>
      </c>
      <c r="H175" s="124" t="s">
        <v>368</v>
      </c>
      <c r="I175" s="104">
        <v>6000000</v>
      </c>
      <c r="J175" s="105">
        <v>7.7499999999999999E-2</v>
      </c>
      <c r="K175" s="76">
        <v>7.4999999999999997E-2</v>
      </c>
      <c r="L175" s="106">
        <v>0.9</v>
      </c>
      <c r="M175" s="107">
        <v>10</v>
      </c>
      <c r="N175" s="107"/>
      <c r="O175" s="106">
        <v>12</v>
      </c>
      <c r="P175" s="107">
        <f t="shared" si="79"/>
        <v>348750</v>
      </c>
      <c r="Q175" s="107">
        <f t="shared" si="76"/>
        <v>3639936.395389914</v>
      </c>
      <c r="R175" s="107">
        <f t="shared" si="80"/>
        <v>211571.30298203873</v>
      </c>
      <c r="S175" s="107">
        <f t="shared" si="77"/>
        <v>137178.69701796127</v>
      </c>
      <c r="T175" s="108">
        <v>0.606656065898319</v>
      </c>
      <c r="U175" s="107"/>
      <c r="V175" s="106"/>
      <c r="W175" s="107">
        <f t="shared" si="74"/>
        <v>3639936.395389914</v>
      </c>
      <c r="X175" s="107">
        <f t="shared" si="74"/>
        <v>211571.30298203873</v>
      </c>
      <c r="Y175" s="109">
        <f t="shared" si="75"/>
        <v>3639936.395389914</v>
      </c>
      <c r="Z175" s="109">
        <f t="shared" si="75"/>
        <v>211571.30298203873</v>
      </c>
      <c r="AA175" s="109"/>
      <c r="AB175" s="109"/>
      <c r="AC175" s="109">
        <f t="shared" ref="AC175:AC266" si="81">Z175-AA175-AB175</f>
        <v>211571.30298203873</v>
      </c>
      <c r="AD175" s="110">
        <v>3639936.395389914</v>
      </c>
      <c r="AE175" s="110">
        <f t="shared" si="58"/>
        <v>4044373.7726554601</v>
      </c>
      <c r="AF175" s="110"/>
      <c r="AG175" s="83">
        <v>-211571.3</v>
      </c>
      <c r="AH175" s="111"/>
      <c r="AI175" s="111"/>
      <c r="AJ175" s="111"/>
      <c r="AK175" s="111"/>
      <c r="AL175" s="111">
        <f t="shared" si="72"/>
        <v>2.9820387426298112E-3</v>
      </c>
      <c r="AM175" s="111"/>
      <c r="AN175" s="111"/>
      <c r="AO175" s="111"/>
      <c r="AP175" s="111">
        <f t="shared" si="68"/>
        <v>2.9820387426298112E-3</v>
      </c>
      <c r="AQ175" s="111"/>
      <c r="AR175" s="82">
        <f t="shared" si="62"/>
        <v>2.9820387426298112E-3</v>
      </c>
      <c r="AS175" s="82"/>
      <c r="AT175" s="82">
        <v>0</v>
      </c>
      <c r="AU175" s="85">
        <f t="shared" si="78"/>
        <v>2.9820387426298112E-3</v>
      </c>
      <c r="AV175" s="85"/>
      <c r="AW175" s="86"/>
      <c r="AX175" s="86"/>
      <c r="AY175" s="85"/>
      <c r="AZ175" s="85"/>
      <c r="BA175" s="85">
        <f t="shared" si="59"/>
        <v>0</v>
      </c>
      <c r="BB175" s="85"/>
      <c r="BC175" s="85"/>
      <c r="BD175" s="85"/>
      <c r="BE175" s="85"/>
      <c r="BF175" s="85"/>
      <c r="BG175" s="85"/>
      <c r="BH175" s="111">
        <f t="shared" si="60"/>
        <v>0</v>
      </c>
      <c r="BI175" s="111"/>
      <c r="BJ175" s="112">
        <f t="shared" si="64"/>
        <v>4549920.4942373922</v>
      </c>
      <c r="BK175" s="112"/>
      <c r="BL175" s="134">
        <v>-4549920.49</v>
      </c>
      <c r="BM175" s="135"/>
      <c r="BN175" s="113"/>
      <c r="BO175" s="113"/>
      <c r="BP175" s="113"/>
      <c r="BQ175" s="114">
        <f t="shared" si="73"/>
        <v>4.2373919859528542E-3</v>
      </c>
      <c r="BR175" s="114">
        <f t="shared" si="69"/>
        <v>7.3291274780456189E-2</v>
      </c>
      <c r="BS175" s="98"/>
      <c r="BT175" s="98"/>
      <c r="BU175" s="98"/>
      <c r="BV175" s="115">
        <f t="shared" si="70"/>
        <v>8.5506487243865559E-2</v>
      </c>
      <c r="BW175" s="115"/>
      <c r="BX175" s="93">
        <f t="shared" si="63"/>
        <v>0.13253505522799161</v>
      </c>
      <c r="BY175" s="93"/>
      <c r="BZ175" s="93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116">
        <v>0</v>
      </c>
      <c r="CL175" s="93"/>
      <c r="CM175" s="307"/>
    </row>
    <row r="176" spans="1:93" s="118" customFormat="1" ht="38.25" x14ac:dyDescent="0.2">
      <c r="A176" s="118">
        <f>A175+1</f>
        <v>89</v>
      </c>
      <c r="B176" s="99">
        <f t="shared" si="61"/>
        <v>167</v>
      </c>
      <c r="C176" s="100" t="s">
        <v>369</v>
      </c>
      <c r="D176" s="101" t="s">
        <v>370</v>
      </c>
      <c r="E176" s="100" t="s">
        <v>371</v>
      </c>
      <c r="F176" s="100" t="s">
        <v>96</v>
      </c>
      <c r="G176" s="103">
        <v>43525</v>
      </c>
      <c r="H176" s="218" t="s">
        <v>97</v>
      </c>
      <c r="I176" s="104">
        <v>5000000</v>
      </c>
      <c r="J176" s="105">
        <v>7.7499999999999999E-2</v>
      </c>
      <c r="K176" s="105">
        <v>7.4999999999999997E-2</v>
      </c>
      <c r="L176" s="106">
        <v>0.9</v>
      </c>
      <c r="M176" s="107">
        <v>9</v>
      </c>
      <c r="N176" s="107">
        <v>4</v>
      </c>
      <c r="O176" s="106">
        <v>12</v>
      </c>
      <c r="P176" s="107">
        <f t="shared" si="79"/>
        <v>261562.5</v>
      </c>
      <c r="Q176" s="107">
        <f t="shared" si="76"/>
        <v>3033280.3294915948</v>
      </c>
      <c r="R176" s="107">
        <f t="shared" si="80"/>
        <v>158678.47723652906</v>
      </c>
      <c r="S176" s="107">
        <f t="shared" si="77"/>
        <v>102884.02276347094</v>
      </c>
      <c r="T176" s="108">
        <v>0.606656065898319</v>
      </c>
      <c r="U176" s="107"/>
      <c r="V176" s="106"/>
      <c r="W176" s="107">
        <f t="shared" si="74"/>
        <v>3033280.3294915948</v>
      </c>
      <c r="X176" s="107">
        <f t="shared" si="74"/>
        <v>158678.47723652906</v>
      </c>
      <c r="Y176" s="109">
        <f t="shared" si="75"/>
        <v>3033280.3294915948</v>
      </c>
      <c r="Z176" s="109">
        <f t="shared" si="75"/>
        <v>158678.47723652906</v>
      </c>
      <c r="AA176" s="109">
        <v>0</v>
      </c>
      <c r="AB176" s="109"/>
      <c r="AC176" s="109">
        <f t="shared" si="81"/>
        <v>158678.47723652906</v>
      </c>
      <c r="AD176" s="110">
        <v>0</v>
      </c>
      <c r="AE176" s="110">
        <f t="shared" si="58"/>
        <v>3033280.3294915948</v>
      </c>
      <c r="AF176" s="110"/>
      <c r="AG176" s="111"/>
      <c r="AH176" s="111"/>
      <c r="AI176" s="111"/>
      <c r="AJ176" s="111"/>
      <c r="AK176" s="111"/>
      <c r="AL176" s="111">
        <f t="shared" si="72"/>
        <v>158678.47723652906</v>
      </c>
      <c r="AM176" s="111"/>
      <c r="AN176" s="111"/>
      <c r="AO176" s="111"/>
      <c r="AP176" s="111">
        <f t="shared" si="68"/>
        <v>158678.47723652906</v>
      </c>
      <c r="AQ176" s="111"/>
      <c r="AR176" s="111">
        <f t="shared" si="62"/>
        <v>158678.47723652906</v>
      </c>
      <c r="AS176" s="111"/>
      <c r="AT176" s="111">
        <f>BY176*K176*L176*N176/O176</f>
        <v>112500</v>
      </c>
      <c r="AU176" s="111">
        <f t="shared" si="78"/>
        <v>46178.477236529056</v>
      </c>
      <c r="AV176" s="111"/>
      <c r="AW176" s="111"/>
      <c r="AX176" s="111">
        <v>108184.93</v>
      </c>
      <c r="AY176" s="111">
        <v>0</v>
      </c>
      <c r="AZ176" s="111"/>
      <c r="BA176" s="85">
        <f t="shared" si="59"/>
        <v>0</v>
      </c>
      <c r="BB176" s="85"/>
      <c r="BC176" s="85"/>
      <c r="BD176" s="85"/>
      <c r="BE176" s="85"/>
      <c r="BF176" s="85"/>
      <c r="BG176" s="85"/>
      <c r="BH176" s="111">
        <f t="shared" si="60"/>
        <v>0</v>
      </c>
      <c r="BI176" s="111"/>
      <c r="BJ176" s="112">
        <f t="shared" si="64"/>
        <v>3412440.3706780439</v>
      </c>
      <c r="BK176" s="112"/>
      <c r="BL176" s="112"/>
      <c r="BM176" s="113"/>
      <c r="BN176" s="113"/>
      <c r="BO176" s="113"/>
      <c r="BP176" s="113"/>
      <c r="BQ176" s="114">
        <f t="shared" si="73"/>
        <v>3412440.3706780439</v>
      </c>
      <c r="BR176" s="114">
        <f t="shared" si="69"/>
        <v>3899931.852203479</v>
      </c>
      <c r="BS176" s="98"/>
      <c r="BT176" s="98"/>
      <c r="BU176" s="98"/>
      <c r="BV176" s="115">
        <f t="shared" si="70"/>
        <v>4549920.4942373922</v>
      </c>
      <c r="BW176" s="115"/>
      <c r="BX176" s="116">
        <f t="shared" si="63"/>
        <v>7052376.7660679594</v>
      </c>
      <c r="BY176" s="116">
        <v>5000000</v>
      </c>
      <c r="BZ176" s="116"/>
      <c r="CA176" s="116"/>
      <c r="CB176" s="116">
        <v>5000000</v>
      </c>
      <c r="CC176" s="116"/>
      <c r="CD176" s="116">
        <v>0</v>
      </c>
      <c r="CE176" s="116"/>
      <c r="CF176" s="116"/>
      <c r="CG176" s="116"/>
      <c r="CH176" s="116"/>
      <c r="CI176" s="116"/>
      <c r="CJ176" s="116"/>
      <c r="CK176" s="116">
        <v>0</v>
      </c>
      <c r="CL176" s="116">
        <v>0</v>
      </c>
      <c r="CM176" s="117"/>
    </row>
    <row r="177" spans="1:92" s="2" customFormat="1" ht="26.25" customHeight="1" x14ac:dyDescent="0.2">
      <c r="A177" s="2">
        <f>A176+1</f>
        <v>90</v>
      </c>
      <c r="B177" s="145">
        <f t="shared" si="61"/>
        <v>168</v>
      </c>
      <c r="C177" s="148" t="s">
        <v>372</v>
      </c>
      <c r="D177" s="164" t="s">
        <v>373</v>
      </c>
      <c r="E177" s="148" t="s">
        <v>371</v>
      </c>
      <c r="F177" s="148" t="s">
        <v>96</v>
      </c>
      <c r="G177" s="149">
        <v>43497</v>
      </c>
      <c r="H177" s="251" t="s">
        <v>374</v>
      </c>
      <c r="I177" s="150">
        <v>20000000</v>
      </c>
      <c r="J177" s="151">
        <v>7.7499999999999999E-2</v>
      </c>
      <c r="K177" s="151">
        <v>7.2499999999999995E-2</v>
      </c>
      <c r="L177" s="152">
        <v>0.9</v>
      </c>
      <c r="M177" s="153">
        <v>10</v>
      </c>
      <c r="N177" s="153">
        <v>2.5</v>
      </c>
      <c r="O177" s="152">
        <v>12</v>
      </c>
      <c r="P177" s="153">
        <f t="shared" si="79"/>
        <v>1162500</v>
      </c>
      <c r="Q177" s="153">
        <f t="shared" si="76"/>
        <v>12133121.317966379</v>
      </c>
      <c r="R177" s="153">
        <f t="shared" si="80"/>
        <v>705237.67660679575</v>
      </c>
      <c r="S177" s="153">
        <f t="shared" si="77"/>
        <v>457262.32339320425</v>
      </c>
      <c r="T177" s="154">
        <v>0.606656065898319</v>
      </c>
      <c r="U177" s="153"/>
      <c r="V177" s="152"/>
      <c r="W177" s="153">
        <f t="shared" si="74"/>
        <v>12133121.317966379</v>
      </c>
      <c r="X177" s="153">
        <f t="shared" si="74"/>
        <v>705237.67660679575</v>
      </c>
      <c r="Y177" s="155">
        <f t="shared" si="75"/>
        <v>12133121.317966379</v>
      </c>
      <c r="Z177" s="155">
        <f t="shared" si="75"/>
        <v>705237.67660679575</v>
      </c>
      <c r="AA177" s="155"/>
      <c r="AB177" s="155"/>
      <c r="AC177" s="155">
        <f t="shared" si="81"/>
        <v>705237.67660679575</v>
      </c>
      <c r="AD177" s="156">
        <v>19716322.141695369</v>
      </c>
      <c r="AE177" s="156">
        <f t="shared" si="58"/>
        <v>13481245.90885153</v>
      </c>
      <c r="AF177" s="156"/>
      <c r="AG177" s="83"/>
      <c r="AH177" s="83"/>
      <c r="AI177" s="83"/>
      <c r="AJ177" s="83"/>
      <c r="AK177" s="83"/>
      <c r="AL177" s="83">
        <f t="shared" si="72"/>
        <v>705237.67660679575</v>
      </c>
      <c r="AM177" s="83"/>
      <c r="AN177" s="83"/>
      <c r="AO177" s="83"/>
      <c r="AP177" s="83">
        <f t="shared" si="68"/>
        <v>705237.67660679575</v>
      </c>
      <c r="AQ177" s="83"/>
      <c r="AR177" s="83">
        <f t="shared" si="62"/>
        <v>705237.67660679575</v>
      </c>
      <c r="AS177" s="83"/>
      <c r="AT177" s="83">
        <f>BY177*K177*L177*N177/O177</f>
        <v>95156.249999999985</v>
      </c>
      <c r="AU177" s="83">
        <f t="shared" si="78"/>
        <v>610081.42660679575</v>
      </c>
      <c r="AV177" s="83"/>
      <c r="AW177" s="83"/>
      <c r="AX177" s="83"/>
      <c r="AY177" s="83">
        <v>157500</v>
      </c>
      <c r="AZ177" s="83"/>
      <c r="BA177" s="83">
        <f t="shared" si="59"/>
        <v>157500</v>
      </c>
      <c r="BB177" s="83"/>
      <c r="BC177" s="83"/>
      <c r="BD177" s="83"/>
      <c r="BE177" s="83"/>
      <c r="BF177" s="83"/>
      <c r="BG177" s="83"/>
      <c r="BH177" s="83">
        <f t="shared" si="60"/>
        <v>157500</v>
      </c>
      <c r="BI177" s="83">
        <f>CK177*K177*L177*N177/O177</f>
        <v>67968.75</v>
      </c>
      <c r="BJ177" s="159">
        <f t="shared" si="64"/>
        <v>15166401.647457972</v>
      </c>
      <c r="BK177" s="159"/>
      <c r="BL177" s="159"/>
      <c r="BM177" s="89"/>
      <c r="BN177" s="89"/>
      <c r="BO177" s="89"/>
      <c r="BP177" s="89"/>
      <c r="BQ177" s="160">
        <f t="shared" si="73"/>
        <v>15166401.647457972</v>
      </c>
      <c r="BR177" s="160">
        <f t="shared" si="69"/>
        <v>17333030.454237685</v>
      </c>
      <c r="BS177" s="161"/>
      <c r="BT177" s="161"/>
      <c r="BU177" s="161"/>
      <c r="BV177" s="162">
        <f t="shared" si="70"/>
        <v>20221868.863277297</v>
      </c>
      <c r="BW177" s="162"/>
      <c r="BX177" s="95">
        <f t="shared" si="63"/>
        <v>32424720.763530843</v>
      </c>
      <c r="BY177" s="95">
        <v>7000000</v>
      </c>
      <c r="BZ177" s="95"/>
      <c r="CA177" s="95"/>
      <c r="CB177" s="95"/>
      <c r="CC177" s="95"/>
      <c r="CD177" s="95">
        <v>7000000</v>
      </c>
      <c r="CE177" s="95"/>
      <c r="CF177" s="95"/>
      <c r="CG177" s="95"/>
      <c r="CH177" s="95"/>
      <c r="CI177" s="95"/>
      <c r="CJ177" s="95"/>
      <c r="CK177" s="95">
        <v>5000000</v>
      </c>
      <c r="CL177" s="95">
        <v>10000000</v>
      </c>
      <c r="CM177" s="163" t="s">
        <v>375</v>
      </c>
      <c r="CN177" s="2" t="s">
        <v>95</v>
      </c>
    </row>
    <row r="178" spans="1:92" s="177" customFormat="1" ht="38.25" x14ac:dyDescent="0.2">
      <c r="B178" s="99">
        <f t="shared" si="61"/>
        <v>169</v>
      </c>
      <c r="C178" s="179" t="s">
        <v>372</v>
      </c>
      <c r="D178" s="180" t="s">
        <v>373</v>
      </c>
      <c r="E178" s="179" t="s">
        <v>161</v>
      </c>
      <c r="F178" s="179" t="s">
        <v>96</v>
      </c>
      <c r="G178" s="173">
        <v>43556</v>
      </c>
      <c r="H178" s="173"/>
      <c r="I178" s="181">
        <v>10000000</v>
      </c>
      <c r="J178" s="182">
        <v>7.7499999999999999E-2</v>
      </c>
      <c r="K178" s="182">
        <v>7.4999999999999997E-2</v>
      </c>
      <c r="L178" s="183">
        <v>0.9</v>
      </c>
      <c r="M178" s="184">
        <v>8</v>
      </c>
      <c r="N178" s="184">
        <v>4</v>
      </c>
      <c r="O178" s="183">
        <v>12</v>
      </c>
      <c r="P178" s="184">
        <f t="shared" si="79"/>
        <v>465000</v>
      </c>
      <c r="Q178" s="184">
        <f t="shared" si="76"/>
        <v>6066560.6589831896</v>
      </c>
      <c r="R178" s="184">
        <f t="shared" si="80"/>
        <v>282095.07064271829</v>
      </c>
      <c r="S178" s="184">
        <f t="shared" si="77"/>
        <v>182904.92935728171</v>
      </c>
      <c r="T178" s="185">
        <v>0.606656065898319</v>
      </c>
      <c r="U178" s="184"/>
      <c r="V178" s="183"/>
      <c r="W178" s="184">
        <f t="shared" si="74"/>
        <v>6066560.6589831896</v>
      </c>
      <c r="X178" s="184">
        <f t="shared" si="74"/>
        <v>282095.07064271829</v>
      </c>
      <c r="Y178" s="186">
        <f t="shared" si="75"/>
        <v>6066560.6589831896</v>
      </c>
      <c r="Z178" s="186">
        <f t="shared" si="75"/>
        <v>282095.07064271829</v>
      </c>
      <c r="AA178" s="186"/>
      <c r="AB178" s="186"/>
      <c r="AC178" s="186">
        <f t="shared" si="81"/>
        <v>282095.07064271829</v>
      </c>
      <c r="AD178" s="187">
        <v>0</v>
      </c>
      <c r="AE178" s="187">
        <f t="shared" si="58"/>
        <v>5392498.3635406131</v>
      </c>
      <c r="AF178" s="187"/>
      <c r="AG178" s="188"/>
      <c r="AH178" s="188"/>
      <c r="AI178" s="188"/>
      <c r="AJ178" s="188"/>
      <c r="AK178" s="188"/>
      <c r="AL178" s="188">
        <f t="shared" si="72"/>
        <v>282095.07064271829</v>
      </c>
      <c r="AM178" s="188"/>
      <c r="AN178" s="188"/>
      <c r="AO178" s="188"/>
      <c r="AP178" s="188">
        <f t="shared" si="68"/>
        <v>282095.07064271829</v>
      </c>
      <c r="AQ178" s="188"/>
      <c r="AR178" s="188">
        <f t="shared" si="62"/>
        <v>282095.07064271829</v>
      </c>
      <c r="AS178" s="188"/>
      <c r="AT178" s="188">
        <v>0</v>
      </c>
      <c r="AU178" s="188">
        <f t="shared" si="78"/>
        <v>282095.07064271829</v>
      </c>
      <c r="AV178" s="188"/>
      <c r="AW178" s="188"/>
      <c r="AX178" s="188"/>
      <c r="AY178" s="188"/>
      <c r="AZ178" s="188"/>
      <c r="BA178" s="85">
        <f t="shared" si="59"/>
        <v>0</v>
      </c>
      <c r="BB178" s="85"/>
      <c r="BC178" s="85"/>
      <c r="BD178" s="85"/>
      <c r="BE178" s="85"/>
      <c r="BF178" s="85"/>
      <c r="BG178" s="85"/>
      <c r="BH178" s="111">
        <f t="shared" si="60"/>
        <v>0</v>
      </c>
      <c r="BI178" s="111"/>
      <c r="BJ178" s="189">
        <f t="shared" si="64"/>
        <v>6066560.6589831896</v>
      </c>
      <c r="BK178" s="189"/>
      <c r="BL178" s="189"/>
      <c r="BM178" s="190"/>
      <c r="BN178" s="190"/>
      <c r="BO178" s="190"/>
      <c r="BP178" s="190"/>
      <c r="BQ178" s="191">
        <f t="shared" si="73"/>
        <v>6066560.6589831896</v>
      </c>
      <c r="BR178" s="191">
        <f t="shared" si="69"/>
        <v>6933212.1816950738</v>
      </c>
      <c r="BS178" s="192"/>
      <c r="BT178" s="192"/>
      <c r="BU178" s="192"/>
      <c r="BV178" s="193">
        <f t="shared" si="70"/>
        <v>8088747.5453109201</v>
      </c>
      <c r="BW178" s="193"/>
      <c r="BX178" s="194">
        <f t="shared" si="63"/>
        <v>12537558.695231924</v>
      </c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16">
        <v>0</v>
      </c>
      <c r="CL178" s="194"/>
      <c r="CM178" s="195"/>
      <c r="CN178" s="178" t="s">
        <v>109</v>
      </c>
    </row>
    <row r="179" spans="1:92" s="177" customFormat="1" ht="38.25" x14ac:dyDescent="0.2">
      <c r="B179" s="99">
        <f t="shared" si="61"/>
        <v>170</v>
      </c>
      <c r="C179" s="179" t="s">
        <v>372</v>
      </c>
      <c r="D179" s="180" t="s">
        <v>373</v>
      </c>
      <c r="E179" s="179" t="s">
        <v>161</v>
      </c>
      <c r="F179" s="179" t="s">
        <v>96</v>
      </c>
      <c r="G179" s="173">
        <v>43709</v>
      </c>
      <c r="H179" s="173"/>
      <c r="I179" s="181">
        <v>15000000</v>
      </c>
      <c r="J179" s="182">
        <v>7.7499999999999999E-2</v>
      </c>
      <c r="K179" s="182">
        <v>7.4999999999999997E-2</v>
      </c>
      <c r="L179" s="183">
        <v>0.9</v>
      </c>
      <c r="M179" s="184">
        <v>3</v>
      </c>
      <c r="N179" s="184">
        <v>2</v>
      </c>
      <c r="O179" s="183">
        <v>12</v>
      </c>
      <c r="P179" s="184">
        <f t="shared" si="79"/>
        <v>261562.5</v>
      </c>
      <c r="Q179" s="184">
        <f t="shared" si="76"/>
        <v>9099840.9884747844</v>
      </c>
      <c r="R179" s="184">
        <f t="shared" si="80"/>
        <v>158678.47723652906</v>
      </c>
      <c r="S179" s="184">
        <f t="shared" si="77"/>
        <v>102884.02276347094</v>
      </c>
      <c r="T179" s="185">
        <v>0.606656065898319</v>
      </c>
      <c r="U179" s="184"/>
      <c r="V179" s="183"/>
      <c r="W179" s="184">
        <f t="shared" si="74"/>
        <v>9099840.9884747844</v>
      </c>
      <c r="X179" s="184">
        <f t="shared" si="74"/>
        <v>158678.47723652906</v>
      </c>
      <c r="Y179" s="186">
        <f t="shared" si="75"/>
        <v>9099840.9884747844</v>
      </c>
      <c r="Z179" s="186">
        <f t="shared" si="75"/>
        <v>158678.47723652906</v>
      </c>
      <c r="AA179" s="186"/>
      <c r="AB179" s="186"/>
      <c r="AC179" s="186">
        <f t="shared" si="81"/>
        <v>158678.47723652906</v>
      </c>
      <c r="AD179" s="187">
        <v>0</v>
      </c>
      <c r="AE179" s="187">
        <f t="shared" si="58"/>
        <v>3033280.3294915948</v>
      </c>
      <c r="AF179" s="187"/>
      <c r="AG179" s="188"/>
      <c r="AH179" s="188"/>
      <c r="AI179" s="188"/>
      <c r="AJ179" s="188"/>
      <c r="AK179" s="188"/>
      <c r="AL179" s="188">
        <f t="shared" si="72"/>
        <v>158678.47723652906</v>
      </c>
      <c r="AM179" s="188"/>
      <c r="AN179" s="188"/>
      <c r="AO179" s="188"/>
      <c r="AP179" s="188">
        <f t="shared" si="68"/>
        <v>158678.47723652906</v>
      </c>
      <c r="AQ179" s="188"/>
      <c r="AR179" s="188">
        <f t="shared" si="62"/>
        <v>158678.47723652906</v>
      </c>
      <c r="AS179" s="188"/>
      <c r="AT179" s="188">
        <v>0</v>
      </c>
      <c r="AU179" s="188">
        <f t="shared" si="78"/>
        <v>158678.47723652906</v>
      </c>
      <c r="AV179" s="188"/>
      <c r="AW179" s="188"/>
      <c r="AX179" s="188"/>
      <c r="AY179" s="188"/>
      <c r="AZ179" s="188"/>
      <c r="BA179" s="85">
        <f t="shared" si="59"/>
        <v>0</v>
      </c>
      <c r="BB179" s="85"/>
      <c r="BC179" s="85"/>
      <c r="BD179" s="85"/>
      <c r="BE179" s="85"/>
      <c r="BF179" s="85"/>
      <c r="BG179" s="85"/>
      <c r="BH179" s="111">
        <f t="shared" si="60"/>
        <v>0</v>
      </c>
      <c r="BI179" s="111"/>
      <c r="BJ179" s="189">
        <f t="shared" si="64"/>
        <v>3412440.3706780439</v>
      </c>
      <c r="BK179" s="189"/>
      <c r="BL179" s="189"/>
      <c r="BM179" s="190"/>
      <c r="BN179" s="190"/>
      <c r="BO179" s="190"/>
      <c r="BP179" s="190"/>
      <c r="BQ179" s="191">
        <f t="shared" si="73"/>
        <v>3412440.3706780439</v>
      </c>
      <c r="BR179" s="191">
        <f t="shared" si="69"/>
        <v>3899931.852203479</v>
      </c>
      <c r="BS179" s="192"/>
      <c r="BT179" s="192"/>
      <c r="BU179" s="192"/>
      <c r="BV179" s="193">
        <f t="shared" si="70"/>
        <v>4549920.4942373922</v>
      </c>
      <c r="BW179" s="193"/>
      <c r="BX179" s="194">
        <f t="shared" si="63"/>
        <v>7052376.7660679594</v>
      </c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16">
        <v>0</v>
      </c>
      <c r="CL179" s="194"/>
      <c r="CM179" s="195"/>
      <c r="CN179" s="178" t="s">
        <v>109</v>
      </c>
    </row>
    <row r="180" spans="1:92" s="177" customFormat="1" ht="25.5" x14ac:dyDescent="0.2">
      <c r="A180" s="177">
        <f>A177+1</f>
        <v>91</v>
      </c>
      <c r="B180" s="99">
        <f t="shared" si="61"/>
        <v>171</v>
      </c>
      <c r="C180" s="179" t="s">
        <v>376</v>
      </c>
      <c r="D180" s="180" t="s">
        <v>377</v>
      </c>
      <c r="E180" s="179" t="s">
        <v>378</v>
      </c>
      <c r="F180" s="179" t="s">
        <v>134</v>
      </c>
      <c r="G180" s="173">
        <v>43497</v>
      </c>
      <c r="H180" s="173" t="s">
        <v>148</v>
      </c>
      <c r="I180" s="181">
        <v>40000000</v>
      </c>
      <c r="J180" s="182">
        <v>7.7499999999999999E-2</v>
      </c>
      <c r="K180" s="105">
        <v>7.2499999999999995E-2</v>
      </c>
      <c r="L180" s="183">
        <v>0.9</v>
      </c>
      <c r="M180" s="184">
        <v>10</v>
      </c>
      <c r="N180" s="184">
        <v>1</v>
      </c>
      <c r="O180" s="183">
        <v>12</v>
      </c>
      <c r="P180" s="184">
        <f t="shared" si="79"/>
        <v>2325000</v>
      </c>
      <c r="Q180" s="184">
        <f t="shared" si="76"/>
        <v>24266242.635932758</v>
      </c>
      <c r="R180" s="184">
        <f t="shared" si="80"/>
        <v>1410475.3532135915</v>
      </c>
      <c r="S180" s="184">
        <f t="shared" si="77"/>
        <v>914524.6467864085</v>
      </c>
      <c r="T180" s="185">
        <v>0.606656065898319</v>
      </c>
      <c r="U180" s="184"/>
      <c r="V180" s="183"/>
      <c r="W180" s="184">
        <f t="shared" si="74"/>
        <v>24266242.635932758</v>
      </c>
      <c r="X180" s="184">
        <f t="shared" si="74"/>
        <v>1410475.3532135915</v>
      </c>
      <c r="Y180" s="186">
        <f t="shared" si="75"/>
        <v>24266242.635932758</v>
      </c>
      <c r="Z180" s="186">
        <f t="shared" si="75"/>
        <v>1410475.3532135915</v>
      </c>
      <c r="AA180" s="186">
        <v>1395000</v>
      </c>
      <c r="AB180" s="186"/>
      <c r="AC180" s="186">
        <f t="shared" si="81"/>
        <v>15475.353213591501</v>
      </c>
      <c r="AD180" s="187">
        <v>-10733757.364067242</v>
      </c>
      <c r="AE180" s="187">
        <f t="shared" si="58"/>
        <v>295825.15103639662</v>
      </c>
      <c r="AF180" s="187"/>
      <c r="AG180" s="188"/>
      <c r="AH180" s="188"/>
      <c r="AI180" s="188"/>
      <c r="AJ180" s="188"/>
      <c r="AK180" s="188"/>
      <c r="AL180" s="188">
        <f t="shared" si="72"/>
        <v>15475.353213591501</v>
      </c>
      <c r="AM180" s="188"/>
      <c r="AN180" s="188"/>
      <c r="AO180" s="188"/>
      <c r="AP180" s="188">
        <f t="shared" si="68"/>
        <v>15475.353213591501</v>
      </c>
      <c r="AQ180" s="188"/>
      <c r="AR180" s="188">
        <f t="shared" si="62"/>
        <v>15475.353213591501</v>
      </c>
      <c r="AS180" s="188"/>
      <c r="AT180" s="188">
        <v>0</v>
      </c>
      <c r="AU180" s="188">
        <f t="shared" si="78"/>
        <v>15475.353213591501</v>
      </c>
      <c r="AV180" s="188"/>
      <c r="AW180" s="188"/>
      <c r="AX180" s="188"/>
      <c r="AY180" s="188">
        <v>0</v>
      </c>
      <c r="AZ180" s="188"/>
      <c r="BA180" s="300">
        <f>CL180*7.25%*0.9*3/12</f>
        <v>163125</v>
      </c>
      <c r="BB180" s="188"/>
      <c r="BC180" s="188"/>
      <c r="BD180" s="188"/>
      <c r="BE180" s="188"/>
      <c r="BF180" s="188"/>
      <c r="BG180" s="188">
        <v>81562.5</v>
      </c>
      <c r="BH180" s="111">
        <f t="shared" si="60"/>
        <v>81562.5</v>
      </c>
      <c r="BI180" s="111">
        <v>0</v>
      </c>
      <c r="BJ180" s="189">
        <f t="shared" si="64"/>
        <v>332803.29491594626</v>
      </c>
      <c r="BK180" s="189"/>
      <c r="BL180" s="189"/>
      <c r="BM180" s="190"/>
      <c r="BN180" s="190"/>
      <c r="BO180" s="190"/>
      <c r="BP180" s="190"/>
      <c r="BQ180" s="191">
        <f t="shared" si="73"/>
        <v>332803.29491594626</v>
      </c>
      <c r="BR180" s="191">
        <f t="shared" si="69"/>
        <v>380346.62276108144</v>
      </c>
      <c r="BS180" s="192"/>
      <c r="BT180" s="192"/>
      <c r="BU180" s="192"/>
      <c r="BV180" s="193">
        <f t="shared" si="70"/>
        <v>443737.72655459505</v>
      </c>
      <c r="BW180" s="193"/>
      <c r="BX180" s="194">
        <f t="shared" si="63"/>
        <v>711510.49257891963</v>
      </c>
      <c r="BY180" s="194">
        <f>AT180/K180/L180/N180*O180</f>
        <v>0</v>
      </c>
      <c r="BZ180" s="194"/>
      <c r="CA180" s="194"/>
      <c r="CB180" s="194"/>
      <c r="CC180" s="194"/>
      <c r="CD180" s="194">
        <v>0</v>
      </c>
      <c r="CE180" s="194"/>
      <c r="CF180" s="194"/>
      <c r="CG180" s="194"/>
      <c r="CH180" s="194"/>
      <c r="CI180" s="194"/>
      <c r="CJ180" s="194">
        <v>10000000</v>
      </c>
      <c r="CK180" s="194">
        <v>0</v>
      </c>
      <c r="CL180" s="194">
        <v>10000000</v>
      </c>
      <c r="CM180" s="195" t="s">
        <v>135</v>
      </c>
      <c r="CN180" s="179" t="s">
        <v>151</v>
      </c>
    </row>
    <row r="181" spans="1:92" s="196" customFormat="1" ht="38.25" x14ac:dyDescent="0.2">
      <c r="A181" s="196">
        <f>A180+1</f>
        <v>92</v>
      </c>
      <c r="B181" s="99">
        <f t="shared" si="61"/>
        <v>172</v>
      </c>
      <c r="C181" s="122" t="s">
        <v>379</v>
      </c>
      <c r="D181" s="123" t="s">
        <v>380</v>
      </c>
      <c r="E181" s="122" t="s">
        <v>371</v>
      </c>
      <c r="F181" s="100" t="s">
        <v>134</v>
      </c>
      <c r="G181" s="124">
        <v>43497</v>
      </c>
      <c r="H181" s="124">
        <v>43497</v>
      </c>
      <c r="I181" s="125">
        <v>10000000</v>
      </c>
      <c r="J181" s="126">
        <v>7.7499999999999999E-2</v>
      </c>
      <c r="K181" s="105">
        <v>7.4999999999999997E-2</v>
      </c>
      <c r="L181" s="127">
        <v>0.9</v>
      </c>
      <c r="M181" s="128">
        <v>10</v>
      </c>
      <c r="N181" s="128"/>
      <c r="O181" s="127">
        <v>12</v>
      </c>
      <c r="P181" s="128">
        <f t="shared" si="79"/>
        <v>581250</v>
      </c>
      <c r="Q181" s="176">
        <f t="shared" si="76"/>
        <v>6066560.6589831896</v>
      </c>
      <c r="R181" s="128">
        <f t="shared" si="80"/>
        <v>352618.83830339788</v>
      </c>
      <c r="S181" s="128">
        <f t="shared" si="77"/>
        <v>228631.16169660212</v>
      </c>
      <c r="T181" s="129">
        <v>0.606656065898319</v>
      </c>
      <c r="U181" s="176"/>
      <c r="V181" s="127"/>
      <c r="W181" s="128">
        <f t="shared" si="74"/>
        <v>6066560.6589831896</v>
      </c>
      <c r="X181" s="128">
        <f t="shared" si="74"/>
        <v>352618.83830339788</v>
      </c>
      <c r="Y181" s="130">
        <f t="shared" si="75"/>
        <v>6066560.6589831896</v>
      </c>
      <c r="Z181" s="130">
        <f>SUM(X181)-25254.4</f>
        <v>327364.43830339785</v>
      </c>
      <c r="AA181" s="130">
        <f>581249.99-AA182-AA183</f>
        <v>327364.42999999993</v>
      </c>
      <c r="AB181" s="130"/>
      <c r="AC181" s="130">
        <f t="shared" si="81"/>
        <v>8.303397917188704E-3</v>
      </c>
      <c r="AD181" s="131">
        <v>3.2375816255807877E-2</v>
      </c>
      <c r="AE181" s="131">
        <f t="shared" si="58"/>
        <v>0.15872684190563829</v>
      </c>
      <c r="AF181" s="131"/>
      <c r="AG181" s="132"/>
      <c r="AH181" s="132"/>
      <c r="AI181" s="132"/>
      <c r="AJ181" s="132"/>
      <c r="AK181" s="132"/>
      <c r="AL181" s="111">
        <f t="shared" si="72"/>
        <v>8.303397917188704E-3</v>
      </c>
      <c r="AM181" s="111"/>
      <c r="AN181" s="111"/>
      <c r="AO181" s="111"/>
      <c r="AP181" s="111">
        <f t="shared" si="68"/>
        <v>8.303397917188704E-3</v>
      </c>
      <c r="AQ181" s="111"/>
      <c r="AR181" s="111">
        <f t="shared" si="62"/>
        <v>8.303397917188704E-3</v>
      </c>
      <c r="AS181" s="111"/>
      <c r="AT181" s="111">
        <v>0</v>
      </c>
      <c r="AU181" s="111">
        <f t="shared" si="78"/>
        <v>8.303397917188704E-3</v>
      </c>
      <c r="AV181" s="111"/>
      <c r="AW181" s="111"/>
      <c r="AX181" s="111"/>
      <c r="AY181" s="111"/>
      <c r="AZ181" s="111"/>
      <c r="BA181" s="111">
        <f t="shared" si="59"/>
        <v>0</v>
      </c>
      <c r="BB181" s="111"/>
      <c r="BC181" s="111"/>
      <c r="BD181" s="111"/>
      <c r="BE181" s="111"/>
      <c r="BF181" s="111"/>
      <c r="BG181" s="111"/>
      <c r="BH181" s="111">
        <f t="shared" si="60"/>
        <v>0</v>
      </c>
      <c r="BI181" s="111"/>
      <c r="BJ181" s="112">
        <f t="shared" si="64"/>
        <v>0.1785676971438431</v>
      </c>
      <c r="BK181" s="134"/>
      <c r="BL181" s="134"/>
      <c r="BM181" s="135"/>
      <c r="BN181" s="135"/>
      <c r="BO181" s="135"/>
      <c r="BP181" s="135"/>
      <c r="BQ181" s="114">
        <f t="shared" si="73"/>
        <v>0.1785676971438431</v>
      </c>
      <c r="BR181" s="114">
        <f t="shared" si="69"/>
        <v>0.20407736816439215</v>
      </c>
      <c r="BS181" s="136"/>
      <c r="BT181" s="136"/>
      <c r="BU181" s="136"/>
      <c r="BV181" s="115">
        <f t="shared" si="70"/>
        <v>0.23809026285845747</v>
      </c>
      <c r="BW181" s="115"/>
      <c r="BX181" s="116">
        <f t="shared" si="63"/>
        <v>0.36903990743060905</v>
      </c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>
        <v>0</v>
      </c>
      <c r="CL181" s="116"/>
      <c r="CM181" s="199"/>
    </row>
    <row r="182" spans="1:92" s="120" customFormat="1" ht="25.5" x14ac:dyDescent="0.2">
      <c r="B182" s="99">
        <f t="shared" si="61"/>
        <v>173</v>
      </c>
      <c r="C182" s="122" t="s">
        <v>379</v>
      </c>
      <c r="D182" s="123" t="s">
        <v>380</v>
      </c>
      <c r="E182" s="122" t="s">
        <v>161</v>
      </c>
      <c r="F182" s="100" t="s">
        <v>134</v>
      </c>
      <c r="G182" s="124">
        <v>43556</v>
      </c>
      <c r="H182" s="124">
        <v>43556</v>
      </c>
      <c r="I182" s="125">
        <v>6000000</v>
      </c>
      <c r="J182" s="126">
        <v>7.7499999999999999E-2</v>
      </c>
      <c r="K182" s="105">
        <v>7.4999999999999997E-2</v>
      </c>
      <c r="L182" s="127">
        <v>0.9</v>
      </c>
      <c r="M182" s="128">
        <v>8</v>
      </c>
      <c r="N182" s="128"/>
      <c r="O182" s="127">
        <v>12</v>
      </c>
      <c r="P182" s="128">
        <f t="shared" si="79"/>
        <v>279000</v>
      </c>
      <c r="Q182" s="128">
        <f t="shared" si="76"/>
        <v>3639936.395389914</v>
      </c>
      <c r="R182" s="128">
        <f t="shared" si="80"/>
        <v>169257.04238563101</v>
      </c>
      <c r="S182" s="128">
        <f t="shared" si="77"/>
        <v>109742.95761436899</v>
      </c>
      <c r="T182" s="129">
        <v>0.606656065898319</v>
      </c>
      <c r="U182" s="128"/>
      <c r="V182" s="127"/>
      <c r="W182" s="128">
        <f t="shared" si="74"/>
        <v>3639936.395389914</v>
      </c>
      <c r="X182" s="128">
        <f t="shared" si="74"/>
        <v>169257.04238563101</v>
      </c>
      <c r="Y182" s="130">
        <f t="shared" si="75"/>
        <v>3639936.395389914</v>
      </c>
      <c r="Z182" s="130">
        <f t="shared" si="75"/>
        <v>169257.04238563101</v>
      </c>
      <c r="AA182" s="130">
        <v>169257.04</v>
      </c>
      <c r="AB182" s="130"/>
      <c r="AC182" s="130">
        <f t="shared" si="81"/>
        <v>2.385630999924615E-3</v>
      </c>
      <c r="AD182" s="131">
        <v>0</v>
      </c>
      <c r="AE182" s="131">
        <f t="shared" si="58"/>
        <v>4.5603459974664085E-2</v>
      </c>
      <c r="AF182" s="131"/>
      <c r="AG182" s="132"/>
      <c r="AH182" s="132"/>
      <c r="AI182" s="132"/>
      <c r="AJ182" s="132"/>
      <c r="AK182" s="132"/>
      <c r="AL182" s="111">
        <f t="shared" si="72"/>
        <v>2.385630999924615E-3</v>
      </c>
      <c r="AM182" s="111"/>
      <c r="AN182" s="111"/>
      <c r="AO182" s="111"/>
      <c r="AP182" s="111">
        <f t="shared" si="68"/>
        <v>2.385630999924615E-3</v>
      </c>
      <c r="AQ182" s="111"/>
      <c r="AR182" s="111">
        <f t="shared" si="62"/>
        <v>2.385630999924615E-3</v>
      </c>
      <c r="AS182" s="111"/>
      <c r="AT182" s="111">
        <v>0</v>
      </c>
      <c r="AU182" s="111">
        <f t="shared" si="78"/>
        <v>2.385630999924615E-3</v>
      </c>
      <c r="AV182" s="111"/>
      <c r="AW182" s="111"/>
      <c r="AX182" s="111"/>
      <c r="AY182" s="111"/>
      <c r="AZ182" s="111"/>
      <c r="BA182" s="111">
        <f t="shared" si="59"/>
        <v>0</v>
      </c>
      <c r="BB182" s="111"/>
      <c r="BC182" s="111"/>
      <c r="BD182" s="111"/>
      <c r="BE182" s="111"/>
      <c r="BF182" s="111"/>
      <c r="BG182" s="111">
        <v>97875</v>
      </c>
      <c r="BH182" s="111">
        <f t="shared" si="60"/>
        <v>-97875</v>
      </c>
      <c r="BI182" s="111">
        <f>CK182*7.25%*0.9*3/12</f>
        <v>0</v>
      </c>
      <c r="BJ182" s="112">
        <f t="shared" si="64"/>
        <v>5.1303892471497095E-2</v>
      </c>
      <c r="BK182" s="134"/>
      <c r="BL182" s="134"/>
      <c r="BM182" s="135"/>
      <c r="BN182" s="135"/>
      <c r="BO182" s="135"/>
      <c r="BP182" s="135"/>
      <c r="BQ182" s="114">
        <f t="shared" si="73"/>
        <v>5.1303892471497095E-2</v>
      </c>
      <c r="BR182" s="114">
        <f t="shared" si="69"/>
        <v>5.8633019967425259E-2</v>
      </c>
      <c r="BS182" s="136"/>
      <c r="BT182" s="136"/>
      <c r="BU182" s="136"/>
      <c r="BV182" s="115">
        <f t="shared" si="70"/>
        <v>6.8405189961996127E-2</v>
      </c>
      <c r="BW182" s="115"/>
      <c r="BX182" s="116">
        <f t="shared" si="63"/>
        <v>0.106028044441094</v>
      </c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>
        <v>6000000</v>
      </c>
      <c r="CK182" s="116">
        <f>6000000-6000000</f>
        <v>0</v>
      </c>
      <c r="CL182" s="116"/>
      <c r="CM182" s="119"/>
    </row>
    <row r="183" spans="1:92" s="174" customFormat="1" ht="25.5" x14ac:dyDescent="0.2">
      <c r="B183" s="145">
        <f t="shared" si="61"/>
        <v>174</v>
      </c>
      <c r="C183" s="204" t="s">
        <v>379</v>
      </c>
      <c r="D183" s="224" t="s">
        <v>380</v>
      </c>
      <c r="E183" s="204" t="s">
        <v>161</v>
      </c>
      <c r="F183" s="148" t="s">
        <v>134</v>
      </c>
      <c r="G183" s="205">
        <v>43739</v>
      </c>
      <c r="H183" s="205">
        <v>43739</v>
      </c>
      <c r="I183" s="206">
        <v>12000000</v>
      </c>
      <c r="J183" s="207">
        <v>7.7499999999999999E-2</v>
      </c>
      <c r="K183" s="151">
        <v>7.2499999999999995E-2</v>
      </c>
      <c r="L183" s="220">
        <v>0.9</v>
      </c>
      <c r="M183" s="208">
        <v>2</v>
      </c>
      <c r="N183" s="208">
        <v>2</v>
      </c>
      <c r="O183" s="220">
        <v>12</v>
      </c>
      <c r="P183" s="208">
        <f t="shared" si="79"/>
        <v>139500</v>
      </c>
      <c r="Q183" s="208">
        <f t="shared" si="76"/>
        <v>7279872.7907798281</v>
      </c>
      <c r="R183" s="208">
        <f t="shared" si="80"/>
        <v>84628.521192815504</v>
      </c>
      <c r="S183" s="208">
        <f t="shared" si="77"/>
        <v>54871.478807184496</v>
      </c>
      <c r="T183" s="209">
        <v>0.606656065898319</v>
      </c>
      <c r="U183" s="208"/>
      <c r="V183" s="220"/>
      <c r="W183" s="208">
        <f t="shared" si="74"/>
        <v>7279872.7907798281</v>
      </c>
      <c r="X183" s="208">
        <f t="shared" si="74"/>
        <v>84628.521192815504</v>
      </c>
      <c r="Y183" s="210">
        <f t="shared" si="75"/>
        <v>7279872.7907798281</v>
      </c>
      <c r="Z183" s="210">
        <f t="shared" si="75"/>
        <v>84628.521192815504</v>
      </c>
      <c r="AA183" s="210">
        <v>84628.52</v>
      </c>
      <c r="AB183" s="210"/>
      <c r="AC183" s="210">
        <f t="shared" si="81"/>
        <v>1.1928154999623075E-3</v>
      </c>
      <c r="AD183" s="211">
        <v>0</v>
      </c>
      <c r="AE183" s="211">
        <f t="shared" si="58"/>
        <v>2.2801729987332042E-2</v>
      </c>
      <c r="AF183" s="211"/>
      <c r="AG183" s="198"/>
      <c r="AH183" s="198"/>
      <c r="AI183" s="198"/>
      <c r="AJ183" s="198"/>
      <c r="AK183" s="198"/>
      <c r="AL183" s="83">
        <f t="shared" si="72"/>
        <v>1.1928154999623075E-3</v>
      </c>
      <c r="AM183" s="83"/>
      <c r="AN183" s="83"/>
      <c r="AO183" s="83"/>
      <c r="AP183" s="83">
        <f t="shared" si="68"/>
        <v>1.1928154999623075E-3</v>
      </c>
      <c r="AQ183" s="83"/>
      <c r="AR183" s="83">
        <f t="shared" si="62"/>
        <v>1.1928154999623075E-3</v>
      </c>
      <c r="AS183" s="83"/>
      <c r="AT183" s="83">
        <v>0</v>
      </c>
      <c r="AU183" s="83">
        <f t="shared" si="78"/>
        <v>1.1928154999623075E-3</v>
      </c>
      <c r="AV183" s="83"/>
      <c r="AW183" s="83"/>
      <c r="AX183" s="83"/>
      <c r="AY183" s="83"/>
      <c r="AZ183" s="83"/>
      <c r="BA183" s="83">
        <f t="shared" si="59"/>
        <v>0</v>
      </c>
      <c r="BB183" s="83"/>
      <c r="BC183" s="83"/>
      <c r="BD183" s="83"/>
      <c r="BE183" s="83"/>
      <c r="BF183" s="83"/>
      <c r="BG183" s="83"/>
      <c r="BH183" s="83">
        <f t="shared" si="60"/>
        <v>0</v>
      </c>
      <c r="BI183" s="83">
        <f>CK183*K183*L183*N183/O183</f>
        <v>130499.99999999999</v>
      </c>
      <c r="BJ183" s="159">
        <f t="shared" si="64"/>
        <v>2.5651946235748548E-2</v>
      </c>
      <c r="BK183" s="213"/>
      <c r="BL183" s="213"/>
      <c r="BM183" s="214"/>
      <c r="BN183" s="214"/>
      <c r="BO183" s="214"/>
      <c r="BP183" s="214"/>
      <c r="BQ183" s="160">
        <f t="shared" si="73"/>
        <v>2.5651946235748548E-2</v>
      </c>
      <c r="BR183" s="160">
        <f t="shared" si="69"/>
        <v>2.931650998371263E-2</v>
      </c>
      <c r="BS183" s="215"/>
      <c r="BT183" s="215"/>
      <c r="BU183" s="215"/>
      <c r="BV183" s="162">
        <f t="shared" si="70"/>
        <v>3.4202594980998063E-2</v>
      </c>
      <c r="BW183" s="162"/>
      <c r="BX183" s="95">
        <f t="shared" si="63"/>
        <v>5.4842091952290006E-2</v>
      </c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>
        <v>12000000</v>
      </c>
      <c r="CL183" s="95"/>
      <c r="CM183" s="216"/>
    </row>
    <row r="184" spans="1:92" s="282" customFormat="1" ht="25.5" hidden="1" x14ac:dyDescent="0.2">
      <c r="B184" s="99">
        <f t="shared" si="61"/>
        <v>175</v>
      </c>
      <c r="C184" s="202" t="s">
        <v>379</v>
      </c>
      <c r="D184" s="203" t="s">
        <v>380</v>
      </c>
      <c r="E184" s="202"/>
      <c r="F184" s="139"/>
      <c r="G184" s="283"/>
      <c r="H184" s="283"/>
      <c r="I184" s="284"/>
      <c r="J184" s="285"/>
      <c r="K184" s="309">
        <v>7.4999999999999997E-2</v>
      </c>
      <c r="L184" s="310">
        <v>0.9</v>
      </c>
      <c r="M184" s="311">
        <v>10</v>
      </c>
      <c r="N184" s="311">
        <v>4</v>
      </c>
      <c r="O184" s="310">
        <v>12</v>
      </c>
      <c r="P184" s="286"/>
      <c r="Q184" s="286"/>
      <c r="R184" s="286"/>
      <c r="S184" s="286"/>
      <c r="T184" s="287"/>
      <c r="U184" s="286"/>
      <c r="V184" s="288"/>
      <c r="W184" s="286"/>
      <c r="X184" s="286"/>
      <c r="Y184" s="289"/>
      <c r="Z184" s="289"/>
      <c r="AA184" s="289"/>
      <c r="AB184" s="289"/>
      <c r="AC184" s="289"/>
      <c r="AD184" s="290"/>
      <c r="AE184" s="290"/>
      <c r="AF184" s="290"/>
      <c r="AG184" s="198"/>
      <c r="AH184" s="291"/>
      <c r="AI184" s="291"/>
      <c r="AJ184" s="291"/>
      <c r="AK184" s="291"/>
      <c r="AL184" s="280"/>
      <c r="AM184" s="280"/>
      <c r="AN184" s="280"/>
      <c r="AO184" s="280"/>
      <c r="AP184" s="280"/>
      <c r="AQ184" s="280"/>
      <c r="AR184" s="82">
        <f t="shared" si="62"/>
        <v>0</v>
      </c>
      <c r="AS184" s="82"/>
      <c r="AT184" s="82">
        <v>0</v>
      </c>
      <c r="AU184" s="85">
        <f t="shared" si="78"/>
        <v>0</v>
      </c>
      <c r="AV184" s="85"/>
      <c r="AW184" s="86"/>
      <c r="AX184" s="86"/>
      <c r="AY184" s="85"/>
      <c r="AZ184" s="85"/>
      <c r="BA184" s="292">
        <f>CL184*7.25%*0.9*3.5/12</f>
        <v>228374.99999999997</v>
      </c>
      <c r="BB184" s="85"/>
      <c r="BC184" s="85"/>
      <c r="BD184" s="85"/>
      <c r="BE184" s="85"/>
      <c r="BF184" s="85"/>
      <c r="BG184" s="85"/>
      <c r="BH184" s="85">
        <f t="shared" si="60"/>
        <v>228374.99999999997</v>
      </c>
      <c r="BI184" s="85"/>
      <c r="BJ184" s="312"/>
      <c r="BK184" s="293"/>
      <c r="BL184" s="293"/>
      <c r="BM184" s="294"/>
      <c r="BN184" s="294"/>
      <c r="BO184" s="294"/>
      <c r="BP184" s="294"/>
      <c r="BQ184" s="295"/>
      <c r="BR184" s="295"/>
      <c r="BS184" s="296"/>
      <c r="BT184" s="296"/>
      <c r="BU184" s="296"/>
      <c r="BV184" s="297"/>
      <c r="BW184" s="297"/>
      <c r="BX184" s="93">
        <f t="shared" si="63"/>
        <v>0</v>
      </c>
      <c r="BY184" s="93"/>
      <c r="BZ184" s="93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5"/>
      <c r="CL184" s="144">
        <v>12000000</v>
      </c>
      <c r="CM184" s="167" t="s">
        <v>135</v>
      </c>
      <c r="CN184" s="168" t="s">
        <v>165</v>
      </c>
    </row>
    <row r="185" spans="1:92" s="120" customFormat="1" ht="25.5" x14ac:dyDescent="0.2">
      <c r="A185" s="120">
        <f>A181+1</f>
        <v>93</v>
      </c>
      <c r="B185" s="99">
        <v>175</v>
      </c>
      <c r="C185" s="122" t="s">
        <v>381</v>
      </c>
      <c r="D185" s="123" t="s">
        <v>382</v>
      </c>
      <c r="E185" s="122" t="s">
        <v>95</v>
      </c>
      <c r="F185" s="100" t="s">
        <v>96</v>
      </c>
      <c r="G185" s="124">
        <v>43525</v>
      </c>
      <c r="H185" s="124">
        <v>43525</v>
      </c>
      <c r="I185" s="125">
        <v>7000000</v>
      </c>
      <c r="J185" s="126">
        <v>7.7499999999999999E-2</v>
      </c>
      <c r="K185" s="105">
        <v>7.4999999999999997E-2</v>
      </c>
      <c r="L185" s="127">
        <v>0.9</v>
      </c>
      <c r="M185" s="128">
        <v>9</v>
      </c>
      <c r="N185" s="128"/>
      <c r="O185" s="127">
        <v>12</v>
      </c>
      <c r="P185" s="128">
        <f t="shared" si="79"/>
        <v>366187.5</v>
      </c>
      <c r="Q185" s="128">
        <f t="shared" si="76"/>
        <v>4246592.4612882333</v>
      </c>
      <c r="R185" s="128">
        <f t="shared" si="80"/>
        <v>222149.86813114071</v>
      </c>
      <c r="S185" s="128">
        <f t="shared" si="77"/>
        <v>144037.63186885929</v>
      </c>
      <c r="T185" s="129">
        <v>0.606656065898319</v>
      </c>
      <c r="U185" s="172">
        <v>5900000</v>
      </c>
      <c r="V185" s="141">
        <v>342937.5</v>
      </c>
      <c r="W185" s="128">
        <f t="shared" si="74"/>
        <v>-1653407.5387117667</v>
      </c>
      <c r="X185" s="128">
        <f t="shared" si="74"/>
        <v>-120787.63186885929</v>
      </c>
      <c r="Y185" s="130">
        <f t="shared" si="75"/>
        <v>-1653407.5387117667</v>
      </c>
      <c r="Z185" s="130">
        <f t="shared" si="75"/>
        <v>-120787.63186885929</v>
      </c>
      <c r="AA185" s="130"/>
      <c r="AB185" s="130"/>
      <c r="AC185" s="130">
        <f t="shared" si="81"/>
        <v>-120787.63186885929</v>
      </c>
      <c r="AD185" s="131">
        <v>-3440095.4069151278</v>
      </c>
      <c r="AE185" s="131">
        <f t="shared" si="58"/>
        <v>-2308963.0942673222</v>
      </c>
      <c r="AF185" s="131"/>
      <c r="AG185" s="132"/>
      <c r="AH185" s="132"/>
      <c r="AI185" s="132"/>
      <c r="AJ185" s="132"/>
      <c r="AK185" s="132"/>
      <c r="AL185" s="111">
        <f t="shared" si="72"/>
        <v>-120787.63186885929</v>
      </c>
      <c r="AM185" s="111"/>
      <c r="AN185" s="111"/>
      <c r="AO185" s="111"/>
      <c r="AP185" s="111">
        <f t="shared" si="68"/>
        <v>-120787.63186885929</v>
      </c>
      <c r="AQ185" s="111"/>
      <c r="AR185" s="111">
        <f t="shared" si="62"/>
        <v>-120787.63186885929</v>
      </c>
      <c r="AS185" s="111"/>
      <c r="AT185" s="111">
        <v>0</v>
      </c>
      <c r="AU185" s="111"/>
      <c r="AV185" s="111"/>
      <c r="AW185" s="111"/>
      <c r="AX185" s="111"/>
      <c r="AY185" s="111"/>
      <c r="AZ185" s="111"/>
      <c r="BA185" s="111">
        <f t="shared" si="59"/>
        <v>0</v>
      </c>
      <c r="BB185" s="111"/>
      <c r="BC185" s="111"/>
      <c r="BD185" s="111"/>
      <c r="BE185" s="111"/>
      <c r="BF185" s="111"/>
      <c r="BG185" s="111"/>
      <c r="BH185" s="111">
        <f t="shared" si="60"/>
        <v>0</v>
      </c>
      <c r="BI185" s="111"/>
      <c r="BJ185" s="133">
        <f t="shared" si="64"/>
        <v>-2597583.4810507372</v>
      </c>
      <c r="BK185" s="134"/>
      <c r="BL185" s="134"/>
      <c r="BM185" s="135"/>
      <c r="BN185" s="135"/>
      <c r="BO185" s="135"/>
      <c r="BP185" s="135"/>
      <c r="BQ185" s="114">
        <f t="shared" si="73"/>
        <v>-2597583.4810507372</v>
      </c>
      <c r="BR185" s="114">
        <f t="shared" si="69"/>
        <v>-2968666.8354865569</v>
      </c>
      <c r="BS185" s="136"/>
      <c r="BT185" s="136"/>
      <c r="BU185" s="136"/>
      <c r="BV185" s="115">
        <f t="shared" si="70"/>
        <v>-3463444.6414009836</v>
      </c>
      <c r="BW185" s="115"/>
      <c r="BX185" s="116">
        <f t="shared" si="63"/>
        <v>-5368339.1941715237</v>
      </c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>
        <v>0</v>
      </c>
      <c r="CL185" s="116"/>
      <c r="CM185" s="119"/>
    </row>
    <row r="186" spans="1:92" s="120" customFormat="1" ht="25.5" x14ac:dyDescent="0.2">
      <c r="B186" s="99">
        <f t="shared" si="61"/>
        <v>176</v>
      </c>
      <c r="C186" s="122" t="s">
        <v>381</v>
      </c>
      <c r="D186" s="123" t="s">
        <v>382</v>
      </c>
      <c r="E186" s="122" t="s">
        <v>151</v>
      </c>
      <c r="F186" s="100" t="s">
        <v>96</v>
      </c>
      <c r="G186" s="124">
        <v>43525</v>
      </c>
      <c r="H186" s="124">
        <v>43525</v>
      </c>
      <c r="I186" s="125">
        <v>3000000</v>
      </c>
      <c r="J186" s="126">
        <v>7.7499999999999999E-2</v>
      </c>
      <c r="K186" s="105">
        <v>7.4999999999999997E-2</v>
      </c>
      <c r="L186" s="127">
        <v>0.9</v>
      </c>
      <c r="M186" s="128">
        <v>9</v>
      </c>
      <c r="N186" s="128"/>
      <c r="O186" s="127">
        <v>12</v>
      </c>
      <c r="P186" s="128">
        <f t="shared" si="79"/>
        <v>156937.5</v>
      </c>
      <c r="Q186" s="128">
        <f t="shared" si="76"/>
        <v>1819968.197694957</v>
      </c>
      <c r="R186" s="128">
        <f t="shared" si="80"/>
        <v>95207.086341917442</v>
      </c>
      <c r="S186" s="128">
        <f t="shared" si="77"/>
        <v>61730.413658082558</v>
      </c>
      <c r="T186" s="129">
        <v>0.606656065898319</v>
      </c>
      <c r="U186" s="172">
        <v>3000000</v>
      </c>
      <c r="V186" s="141">
        <v>174375</v>
      </c>
      <c r="W186" s="128">
        <f t="shared" si="74"/>
        <v>-1180031.802305043</v>
      </c>
      <c r="X186" s="128">
        <f t="shared" si="74"/>
        <v>-79167.913658082558</v>
      </c>
      <c r="Y186" s="130">
        <f t="shared" si="75"/>
        <v>-1180031.802305043</v>
      </c>
      <c r="Z186" s="130">
        <f t="shared" si="75"/>
        <v>-79167.913658082558</v>
      </c>
      <c r="AA186" s="130"/>
      <c r="AB186" s="130"/>
      <c r="AC186" s="130">
        <f t="shared" si="81"/>
        <v>-79167.913658082558</v>
      </c>
      <c r="AD186" s="131">
        <v>0</v>
      </c>
      <c r="AE186" s="131">
        <f t="shared" si="58"/>
        <v>-1513365.1356383762</v>
      </c>
      <c r="AF186" s="131"/>
      <c r="AG186" s="132"/>
      <c r="AH186" s="132"/>
      <c r="AI186" s="132"/>
      <c r="AJ186" s="132"/>
      <c r="AK186" s="132"/>
      <c r="AL186" s="111">
        <f t="shared" si="72"/>
        <v>-79167.913658082558</v>
      </c>
      <c r="AM186" s="111"/>
      <c r="AN186" s="111"/>
      <c r="AO186" s="111"/>
      <c r="AP186" s="111">
        <f t="shared" si="68"/>
        <v>-79167.913658082558</v>
      </c>
      <c r="AQ186" s="111"/>
      <c r="AR186" s="111">
        <f t="shared" si="62"/>
        <v>-79167.913658082558</v>
      </c>
      <c r="AS186" s="111"/>
      <c r="AT186" s="111">
        <v>0</v>
      </c>
      <c r="AU186" s="111"/>
      <c r="AV186" s="111"/>
      <c r="AW186" s="111"/>
      <c r="AX186" s="111"/>
      <c r="AY186" s="111"/>
      <c r="AZ186" s="111"/>
      <c r="BA186" s="111">
        <f t="shared" si="59"/>
        <v>0</v>
      </c>
      <c r="BB186" s="111"/>
      <c r="BC186" s="111"/>
      <c r="BD186" s="111"/>
      <c r="BE186" s="111"/>
      <c r="BF186" s="111"/>
      <c r="BG186" s="111"/>
      <c r="BH186" s="111">
        <f t="shared" si="60"/>
        <v>0</v>
      </c>
      <c r="BI186" s="111"/>
      <c r="BJ186" s="133">
        <f t="shared" si="64"/>
        <v>-1702535.7775931736</v>
      </c>
      <c r="BK186" s="134"/>
      <c r="BL186" s="134"/>
      <c r="BM186" s="135"/>
      <c r="BN186" s="135"/>
      <c r="BO186" s="135"/>
      <c r="BP186" s="135"/>
      <c r="BQ186" s="114">
        <f t="shared" si="73"/>
        <v>-1702535.7775931736</v>
      </c>
      <c r="BR186" s="114">
        <f t="shared" si="69"/>
        <v>-1945755.1743921982</v>
      </c>
      <c r="BS186" s="136"/>
      <c r="BT186" s="136"/>
      <c r="BU186" s="136"/>
      <c r="BV186" s="115">
        <f t="shared" si="70"/>
        <v>-2270047.7034575646</v>
      </c>
      <c r="BW186" s="115"/>
      <c r="BX186" s="116">
        <f t="shared" si="63"/>
        <v>-3518573.9403592255</v>
      </c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>
        <v>0</v>
      </c>
      <c r="CL186" s="116"/>
      <c r="CM186" s="119"/>
    </row>
    <row r="187" spans="1:92" s="120" customFormat="1" ht="25.5" x14ac:dyDescent="0.2">
      <c r="B187" s="99">
        <f t="shared" si="61"/>
        <v>177</v>
      </c>
      <c r="C187" s="122" t="s">
        <v>381</v>
      </c>
      <c r="D187" s="123" t="s">
        <v>382</v>
      </c>
      <c r="E187" s="122" t="s">
        <v>95</v>
      </c>
      <c r="F187" s="100" t="s">
        <v>96</v>
      </c>
      <c r="G187" s="124"/>
      <c r="H187" s="124" t="s">
        <v>196</v>
      </c>
      <c r="I187" s="125"/>
      <c r="J187" s="126"/>
      <c r="K187" s="105">
        <v>7.4999999999999997E-2</v>
      </c>
      <c r="L187" s="106">
        <v>0.9</v>
      </c>
      <c r="M187" s="107">
        <v>9</v>
      </c>
      <c r="N187" s="107">
        <v>4</v>
      </c>
      <c r="O187" s="106">
        <v>12</v>
      </c>
      <c r="P187" s="128"/>
      <c r="Q187" s="128"/>
      <c r="R187" s="128"/>
      <c r="S187" s="128"/>
      <c r="T187" s="129"/>
      <c r="U187" s="172"/>
      <c r="V187" s="141"/>
      <c r="W187" s="128"/>
      <c r="X187" s="128"/>
      <c r="Y187" s="130"/>
      <c r="Z187" s="130"/>
      <c r="AA187" s="130"/>
      <c r="AB187" s="130"/>
      <c r="AC187" s="130"/>
      <c r="AD187" s="131"/>
      <c r="AE187" s="131"/>
      <c r="AF187" s="131"/>
      <c r="AG187" s="132"/>
      <c r="AH187" s="132"/>
      <c r="AI187" s="132"/>
      <c r="AJ187" s="132"/>
      <c r="AK187" s="132"/>
      <c r="AL187" s="111"/>
      <c r="AM187" s="111"/>
      <c r="AN187" s="111"/>
      <c r="AO187" s="111"/>
      <c r="AP187" s="111"/>
      <c r="AQ187" s="111"/>
      <c r="AR187" s="111">
        <f t="shared" si="62"/>
        <v>0</v>
      </c>
      <c r="AS187" s="111"/>
      <c r="AT187" s="111">
        <v>0</v>
      </c>
      <c r="AU187" s="111">
        <f>AR187-AT187</f>
        <v>0</v>
      </c>
      <c r="AV187" s="111"/>
      <c r="AW187" s="111">
        <v>211500</v>
      </c>
      <c r="AX187" s="111"/>
      <c r="AY187" s="111">
        <v>0</v>
      </c>
      <c r="AZ187" s="111"/>
      <c r="BA187" s="111">
        <f t="shared" si="59"/>
        <v>0</v>
      </c>
      <c r="BB187" s="111"/>
      <c r="BC187" s="111"/>
      <c r="BD187" s="111"/>
      <c r="BE187" s="111"/>
      <c r="BF187" s="111"/>
      <c r="BG187" s="111"/>
      <c r="BH187" s="111">
        <f t="shared" si="60"/>
        <v>0</v>
      </c>
      <c r="BI187" s="111"/>
      <c r="BJ187" s="133"/>
      <c r="BK187" s="134"/>
      <c r="BL187" s="134"/>
      <c r="BM187" s="135"/>
      <c r="BN187" s="135"/>
      <c r="BO187" s="135"/>
      <c r="BP187" s="135"/>
      <c r="BQ187" s="114"/>
      <c r="BR187" s="114"/>
      <c r="BS187" s="136"/>
      <c r="BT187" s="136"/>
      <c r="BU187" s="136"/>
      <c r="BV187" s="115"/>
      <c r="BW187" s="115"/>
      <c r="BX187" s="116">
        <f t="shared" si="63"/>
        <v>0</v>
      </c>
      <c r="BY187" s="116"/>
      <c r="BZ187" s="116"/>
      <c r="CA187" s="116">
        <v>9400000</v>
      </c>
      <c r="CB187" s="116"/>
      <c r="CC187" s="116"/>
      <c r="CD187" s="116">
        <v>0</v>
      </c>
      <c r="CE187" s="116"/>
      <c r="CF187" s="116"/>
      <c r="CG187" s="116"/>
      <c r="CH187" s="116"/>
      <c r="CI187" s="116"/>
      <c r="CJ187" s="116"/>
      <c r="CK187" s="116"/>
      <c r="CL187" s="116">
        <v>10000000</v>
      </c>
      <c r="CM187" s="119" t="s">
        <v>105</v>
      </c>
      <c r="CN187" s="120" t="s">
        <v>106</v>
      </c>
    </row>
    <row r="188" spans="1:92" s="120" customFormat="1" ht="25.5" x14ac:dyDescent="0.2">
      <c r="B188" s="99">
        <f t="shared" si="61"/>
        <v>178</v>
      </c>
      <c r="C188" s="122" t="s">
        <v>381</v>
      </c>
      <c r="D188" s="123" t="s">
        <v>382</v>
      </c>
      <c r="E188" s="122" t="s">
        <v>161</v>
      </c>
      <c r="F188" s="100"/>
      <c r="G188" s="124"/>
      <c r="H188" s="124" t="s">
        <v>196</v>
      </c>
      <c r="I188" s="125"/>
      <c r="J188" s="126"/>
      <c r="K188" s="105"/>
      <c r="L188" s="106"/>
      <c r="M188" s="107"/>
      <c r="N188" s="107"/>
      <c r="O188" s="106"/>
      <c r="P188" s="128"/>
      <c r="Q188" s="128"/>
      <c r="R188" s="128"/>
      <c r="S188" s="128"/>
      <c r="T188" s="129"/>
      <c r="U188" s="172"/>
      <c r="V188" s="141"/>
      <c r="W188" s="128"/>
      <c r="X188" s="128"/>
      <c r="Y188" s="130"/>
      <c r="Z188" s="130"/>
      <c r="AA188" s="130"/>
      <c r="AB188" s="130"/>
      <c r="AC188" s="130"/>
      <c r="AD188" s="131"/>
      <c r="AE188" s="131"/>
      <c r="AF188" s="131"/>
      <c r="AG188" s="132"/>
      <c r="AH188" s="132"/>
      <c r="AI188" s="132"/>
      <c r="AJ188" s="132"/>
      <c r="AK188" s="132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>
        <v>13500</v>
      </c>
      <c r="AX188" s="111"/>
      <c r="AY188" s="111">
        <v>0</v>
      </c>
      <c r="AZ188" s="111"/>
      <c r="BA188" s="111">
        <f t="shared" si="59"/>
        <v>0</v>
      </c>
      <c r="BB188" s="111"/>
      <c r="BC188" s="111"/>
      <c r="BD188" s="111"/>
      <c r="BE188" s="111"/>
      <c r="BF188" s="111"/>
      <c r="BG188" s="111"/>
      <c r="BH188" s="111">
        <f t="shared" si="60"/>
        <v>0</v>
      </c>
      <c r="BI188" s="111"/>
      <c r="BJ188" s="133"/>
      <c r="BK188" s="134"/>
      <c r="BL188" s="134"/>
      <c r="BM188" s="135"/>
      <c r="BN188" s="135"/>
      <c r="BO188" s="135"/>
      <c r="BP188" s="135"/>
      <c r="BQ188" s="114"/>
      <c r="BR188" s="114"/>
      <c r="BS188" s="136"/>
      <c r="BT188" s="136"/>
      <c r="BU188" s="136"/>
      <c r="BV188" s="115"/>
      <c r="BW188" s="115"/>
      <c r="BX188" s="116"/>
      <c r="BY188" s="116"/>
      <c r="BZ188" s="116"/>
      <c r="CA188" s="116">
        <v>600000</v>
      </c>
      <c r="CB188" s="116"/>
      <c r="CC188" s="116"/>
      <c r="CD188" s="116">
        <v>0</v>
      </c>
      <c r="CE188" s="116"/>
      <c r="CF188" s="116"/>
      <c r="CG188" s="116"/>
      <c r="CH188" s="116"/>
      <c r="CI188" s="116"/>
      <c r="CJ188" s="116"/>
      <c r="CK188" s="116">
        <v>0</v>
      </c>
      <c r="CL188" s="116"/>
      <c r="CM188" s="119"/>
    </row>
    <row r="189" spans="1:92" s="120" customFormat="1" ht="25.5" x14ac:dyDescent="0.2">
      <c r="A189" s="120">
        <f>A185+1</f>
        <v>94</v>
      </c>
      <c r="B189" s="99">
        <f t="shared" si="61"/>
        <v>179</v>
      </c>
      <c r="C189" s="122" t="s">
        <v>383</v>
      </c>
      <c r="D189" s="123" t="s">
        <v>384</v>
      </c>
      <c r="E189" s="122" t="s">
        <v>151</v>
      </c>
      <c r="F189" s="100" t="s">
        <v>134</v>
      </c>
      <c r="G189" s="124">
        <v>43497</v>
      </c>
      <c r="H189" s="124">
        <v>43497</v>
      </c>
      <c r="I189" s="125">
        <v>10000000</v>
      </c>
      <c r="J189" s="126">
        <v>7.7499999999999999E-2</v>
      </c>
      <c r="K189" s="105">
        <v>7.4999999999999997E-2</v>
      </c>
      <c r="L189" s="127">
        <v>0.9</v>
      </c>
      <c r="M189" s="128">
        <v>10</v>
      </c>
      <c r="N189" s="128"/>
      <c r="O189" s="127">
        <v>12</v>
      </c>
      <c r="P189" s="128">
        <f t="shared" si="79"/>
        <v>581250</v>
      </c>
      <c r="Q189" s="128">
        <f t="shared" si="76"/>
        <v>6066560.6589831896</v>
      </c>
      <c r="R189" s="128">
        <f t="shared" si="80"/>
        <v>352618.83830339788</v>
      </c>
      <c r="S189" s="128">
        <f t="shared" si="77"/>
        <v>228631.16169660212</v>
      </c>
      <c r="T189" s="129">
        <v>0.606656065898319</v>
      </c>
      <c r="U189" s="172">
        <v>15000000</v>
      </c>
      <c r="V189" s="141">
        <v>871875</v>
      </c>
      <c r="W189" s="128">
        <f t="shared" si="74"/>
        <v>-8933439.3410168104</v>
      </c>
      <c r="X189" s="128">
        <f t="shared" si="74"/>
        <v>-519256.16169660212</v>
      </c>
      <c r="Y189" s="130">
        <f t="shared" si="75"/>
        <v>-8933439.3410168104</v>
      </c>
      <c r="Z189" s="130">
        <f t="shared" si="75"/>
        <v>-519256.16169660212</v>
      </c>
      <c r="AA189" s="130"/>
      <c r="AB189" s="130"/>
      <c r="AC189" s="130">
        <f t="shared" si="81"/>
        <v>-519256.16169660212</v>
      </c>
      <c r="AD189" s="131">
        <v>-8933439.3410168104</v>
      </c>
      <c r="AE189" s="131">
        <f t="shared" si="58"/>
        <v>-9926043.712240899</v>
      </c>
      <c r="AF189" s="131"/>
      <c r="AG189" s="132"/>
      <c r="AH189" s="132"/>
      <c r="AI189" s="132"/>
      <c r="AJ189" s="132"/>
      <c r="AK189" s="132"/>
      <c r="AL189" s="111">
        <f t="shared" si="72"/>
        <v>-519256.16169660212</v>
      </c>
      <c r="AM189" s="111"/>
      <c r="AN189" s="111"/>
      <c r="AO189" s="111"/>
      <c r="AP189" s="111">
        <f t="shared" si="68"/>
        <v>-519256.16169660212</v>
      </c>
      <c r="AQ189" s="111"/>
      <c r="AR189" s="111">
        <f t="shared" si="62"/>
        <v>-519256.16169660212</v>
      </c>
      <c r="AS189" s="111"/>
      <c r="AT189" s="111">
        <v>0</v>
      </c>
      <c r="AU189" s="111"/>
      <c r="AV189" s="111"/>
      <c r="AW189" s="111"/>
      <c r="AX189" s="111"/>
      <c r="AY189" s="111"/>
      <c r="AZ189" s="111"/>
      <c r="BA189" s="111">
        <f t="shared" si="59"/>
        <v>0</v>
      </c>
      <c r="BB189" s="111"/>
      <c r="BC189" s="111"/>
      <c r="BD189" s="111"/>
      <c r="BE189" s="111"/>
      <c r="BF189" s="111"/>
      <c r="BG189" s="111"/>
      <c r="BH189" s="111">
        <f t="shared" si="60"/>
        <v>0</v>
      </c>
      <c r="BI189" s="111"/>
      <c r="BJ189" s="133">
        <f t="shared" si="64"/>
        <v>-11166799.176271012</v>
      </c>
      <c r="BK189" s="134"/>
      <c r="BL189" s="134"/>
      <c r="BM189" s="135"/>
      <c r="BN189" s="135"/>
      <c r="BO189" s="135"/>
      <c r="BP189" s="135"/>
      <c r="BQ189" s="114">
        <f t="shared" si="73"/>
        <v>-11166799.176271012</v>
      </c>
      <c r="BR189" s="114">
        <f t="shared" si="69"/>
        <v>-12762056.201452583</v>
      </c>
      <c r="BS189" s="136"/>
      <c r="BT189" s="136"/>
      <c r="BU189" s="136"/>
      <c r="BV189" s="115">
        <f t="shared" si="70"/>
        <v>-14889065.568361349</v>
      </c>
      <c r="BW189" s="115"/>
      <c r="BX189" s="116">
        <f t="shared" si="63"/>
        <v>-23078051.630960096</v>
      </c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>
        <v>0</v>
      </c>
      <c r="CL189" s="116"/>
      <c r="CM189" s="119"/>
    </row>
    <row r="190" spans="1:92" s="120" customFormat="1" ht="25.5" x14ac:dyDescent="0.2">
      <c r="B190" s="99">
        <f t="shared" si="61"/>
        <v>180</v>
      </c>
      <c r="C190" s="122" t="s">
        <v>383</v>
      </c>
      <c r="D190" s="123" t="s">
        <v>384</v>
      </c>
      <c r="E190" s="122" t="s">
        <v>151</v>
      </c>
      <c r="F190" s="100" t="s">
        <v>134</v>
      </c>
      <c r="G190" s="124"/>
      <c r="H190" s="124" t="s">
        <v>97</v>
      </c>
      <c r="I190" s="125"/>
      <c r="J190" s="126"/>
      <c r="K190" s="105">
        <v>7.4999999999999997E-2</v>
      </c>
      <c r="L190" s="106">
        <v>0.9</v>
      </c>
      <c r="M190" s="107">
        <v>9</v>
      </c>
      <c r="N190" s="107">
        <v>4</v>
      </c>
      <c r="O190" s="106">
        <v>12</v>
      </c>
      <c r="P190" s="128"/>
      <c r="Q190" s="128"/>
      <c r="R190" s="128"/>
      <c r="S190" s="128"/>
      <c r="T190" s="129"/>
      <c r="U190" s="172"/>
      <c r="V190" s="141"/>
      <c r="W190" s="128"/>
      <c r="X190" s="128"/>
      <c r="Y190" s="130"/>
      <c r="Z190" s="130"/>
      <c r="AA190" s="130"/>
      <c r="AB190" s="130"/>
      <c r="AC190" s="130"/>
      <c r="AD190" s="131"/>
      <c r="AE190" s="131"/>
      <c r="AF190" s="131"/>
      <c r="AG190" s="132"/>
      <c r="AH190" s="132"/>
      <c r="AI190" s="132"/>
      <c r="AJ190" s="132"/>
      <c r="AK190" s="132"/>
      <c r="AL190" s="111"/>
      <c r="AM190" s="111"/>
      <c r="AN190" s="111"/>
      <c r="AO190" s="111"/>
      <c r="AP190" s="111"/>
      <c r="AQ190" s="111"/>
      <c r="AR190" s="111">
        <f t="shared" si="62"/>
        <v>0</v>
      </c>
      <c r="AS190" s="111"/>
      <c r="AT190" s="111">
        <v>0</v>
      </c>
      <c r="AU190" s="111">
        <f t="shared" ref="AU190:AU210" si="82">AR190-AT190</f>
        <v>0</v>
      </c>
      <c r="AV190" s="111"/>
      <c r="AW190" s="111"/>
      <c r="AX190" s="111"/>
      <c r="AY190" s="111"/>
      <c r="AZ190" s="111"/>
      <c r="BA190" s="300">
        <f>CL190*7.25%*0.9*3/12</f>
        <v>326250</v>
      </c>
      <c r="BB190" s="111"/>
      <c r="BC190" s="111"/>
      <c r="BD190" s="111"/>
      <c r="BE190" s="111"/>
      <c r="BF190" s="111"/>
      <c r="BG190" s="111">
        <v>326250</v>
      </c>
      <c r="BH190" s="111">
        <f t="shared" si="60"/>
        <v>0</v>
      </c>
      <c r="BI190" s="111">
        <f>CK190*7.25%*0.9*3/12</f>
        <v>0</v>
      </c>
      <c r="BJ190" s="133"/>
      <c r="BK190" s="134"/>
      <c r="BL190" s="134"/>
      <c r="BM190" s="135"/>
      <c r="BN190" s="135"/>
      <c r="BO190" s="135"/>
      <c r="BP190" s="135"/>
      <c r="BQ190" s="114"/>
      <c r="BR190" s="114"/>
      <c r="BS190" s="136"/>
      <c r="BT190" s="136"/>
      <c r="BU190" s="136"/>
      <c r="BV190" s="115"/>
      <c r="BW190" s="115"/>
      <c r="BX190" s="116">
        <f t="shared" si="63"/>
        <v>0</v>
      </c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>
        <v>20000000</v>
      </c>
      <c r="CK190" s="116">
        <f>20000000-20000000</f>
        <v>0</v>
      </c>
      <c r="CL190" s="116">
        <v>20000000</v>
      </c>
      <c r="CM190" s="119" t="s">
        <v>105</v>
      </c>
      <c r="CN190" s="120" t="s">
        <v>385</v>
      </c>
    </row>
    <row r="191" spans="1:92" s="120" customFormat="1" ht="25.5" x14ac:dyDescent="0.2">
      <c r="A191" s="120">
        <f>A189+1</f>
        <v>95</v>
      </c>
      <c r="B191" s="99">
        <f t="shared" si="61"/>
        <v>181</v>
      </c>
      <c r="C191" s="122" t="s">
        <v>386</v>
      </c>
      <c r="D191" s="123" t="s">
        <v>387</v>
      </c>
      <c r="E191" s="122" t="s">
        <v>161</v>
      </c>
      <c r="F191" s="100" t="s">
        <v>134</v>
      </c>
      <c r="G191" s="124">
        <v>43525</v>
      </c>
      <c r="H191" s="124">
        <v>43525</v>
      </c>
      <c r="I191" s="125">
        <v>20000000</v>
      </c>
      <c r="J191" s="126">
        <v>7.7499999999999999E-2</v>
      </c>
      <c r="K191" s="105">
        <v>7.4999999999999997E-2</v>
      </c>
      <c r="L191" s="127">
        <v>0.9</v>
      </c>
      <c r="M191" s="128">
        <v>9</v>
      </c>
      <c r="N191" s="128"/>
      <c r="O191" s="127">
        <v>12</v>
      </c>
      <c r="P191" s="128">
        <f t="shared" si="79"/>
        <v>1046250</v>
      </c>
      <c r="Q191" s="128">
        <f t="shared" si="76"/>
        <v>12133121.317966379</v>
      </c>
      <c r="R191" s="128">
        <f t="shared" si="80"/>
        <v>634713.90894611622</v>
      </c>
      <c r="S191" s="128">
        <f t="shared" si="77"/>
        <v>411536.09105388378</v>
      </c>
      <c r="T191" s="129">
        <v>0.606656065898319</v>
      </c>
      <c r="U191" s="128"/>
      <c r="V191" s="127"/>
      <c r="W191" s="128">
        <f t="shared" si="74"/>
        <v>12133121.317966379</v>
      </c>
      <c r="X191" s="128">
        <f t="shared" si="74"/>
        <v>634713.90894611622</v>
      </c>
      <c r="Y191" s="130">
        <f t="shared" si="75"/>
        <v>12133121.317966379</v>
      </c>
      <c r="Z191" s="130">
        <f t="shared" si="75"/>
        <v>634713.90894611622</v>
      </c>
      <c r="AA191" s="130">
        <f>1586231.25-AA192</f>
        <v>634713.91</v>
      </c>
      <c r="AB191" s="130"/>
      <c r="AC191" s="130">
        <f t="shared" si="81"/>
        <v>-1.0538838105276227E-3</v>
      </c>
      <c r="AD191" s="131">
        <v>9522.9654243513942</v>
      </c>
      <c r="AE191" s="131">
        <f t="shared" si="58"/>
        <v>-2.0145927082965309E-2</v>
      </c>
      <c r="AF191" s="131"/>
      <c r="AG191" s="132"/>
      <c r="AH191" s="132"/>
      <c r="AI191" s="132"/>
      <c r="AJ191" s="132"/>
      <c r="AK191" s="132"/>
      <c r="AL191" s="111">
        <f t="shared" si="72"/>
        <v>-1.0538838105276227E-3</v>
      </c>
      <c r="AM191" s="111"/>
      <c r="AN191" s="111"/>
      <c r="AO191" s="111"/>
      <c r="AP191" s="111">
        <f t="shared" si="68"/>
        <v>-1.0538838105276227E-3</v>
      </c>
      <c r="AQ191" s="111"/>
      <c r="AR191" s="111">
        <f t="shared" si="62"/>
        <v>-1.0538838105276227E-3</v>
      </c>
      <c r="AS191" s="111"/>
      <c r="AT191" s="111">
        <v>0</v>
      </c>
      <c r="AU191" s="111">
        <f t="shared" si="82"/>
        <v>-1.0538838105276227E-3</v>
      </c>
      <c r="AV191" s="111"/>
      <c r="AW191" s="111"/>
      <c r="AX191" s="111"/>
      <c r="AY191" s="111"/>
      <c r="AZ191" s="111"/>
      <c r="BA191" s="111">
        <f t="shared" si="59"/>
        <v>0</v>
      </c>
      <c r="BB191" s="111"/>
      <c r="BC191" s="111"/>
      <c r="BD191" s="111"/>
      <c r="BE191" s="111"/>
      <c r="BF191" s="111"/>
      <c r="BG191" s="111"/>
      <c r="BH191" s="111">
        <f t="shared" si="60"/>
        <v>0</v>
      </c>
      <c r="BI191" s="111"/>
      <c r="BJ191" s="133">
        <f t="shared" si="64"/>
        <v>-2.2664167968335973E-2</v>
      </c>
      <c r="BK191" s="134"/>
      <c r="BL191" s="134"/>
      <c r="BM191" s="135"/>
      <c r="BN191" s="135"/>
      <c r="BO191" s="135"/>
      <c r="BP191" s="135"/>
      <c r="BQ191" s="114">
        <f t="shared" si="73"/>
        <v>-2.2664167968335973E-2</v>
      </c>
      <c r="BR191" s="114">
        <f t="shared" si="69"/>
        <v>-2.5901906249526825E-2</v>
      </c>
      <c r="BS191" s="136"/>
      <c r="BT191" s="136"/>
      <c r="BU191" s="136"/>
      <c r="BV191" s="115">
        <f t="shared" si="70"/>
        <v>-3.0218890624447964E-2</v>
      </c>
      <c r="BW191" s="115"/>
      <c r="BX191" s="116">
        <f t="shared" si="63"/>
        <v>-4.6839280467894345E-2</v>
      </c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>
        <v>0</v>
      </c>
      <c r="CL191" s="116"/>
      <c r="CM191" s="119"/>
    </row>
    <row r="192" spans="1:92" s="120" customFormat="1" ht="25.5" x14ac:dyDescent="0.2">
      <c r="B192" s="99">
        <f t="shared" si="61"/>
        <v>182</v>
      </c>
      <c r="C192" s="122" t="s">
        <v>386</v>
      </c>
      <c r="D192" s="123" t="s">
        <v>387</v>
      </c>
      <c r="E192" s="122" t="s">
        <v>95</v>
      </c>
      <c r="F192" s="100" t="s">
        <v>134</v>
      </c>
      <c r="G192" s="124">
        <v>43525</v>
      </c>
      <c r="H192" s="124">
        <v>43525</v>
      </c>
      <c r="I192" s="125">
        <v>30000000</v>
      </c>
      <c r="J192" s="126">
        <v>7.7499999999999999E-2</v>
      </c>
      <c r="K192" s="105">
        <v>7.4999999999999997E-2</v>
      </c>
      <c r="L192" s="127">
        <v>0.9</v>
      </c>
      <c r="M192" s="128">
        <v>9</v>
      </c>
      <c r="N192" s="128"/>
      <c r="O192" s="127">
        <v>12</v>
      </c>
      <c r="P192" s="128">
        <f t="shared" si="79"/>
        <v>1569375</v>
      </c>
      <c r="Q192" s="128">
        <f t="shared" si="76"/>
        <v>18199681.976949569</v>
      </c>
      <c r="R192" s="128">
        <f t="shared" si="80"/>
        <v>952070.86341917433</v>
      </c>
      <c r="S192" s="128">
        <f t="shared" si="77"/>
        <v>617304.13658082567</v>
      </c>
      <c r="T192" s="129">
        <v>0.606656065898319</v>
      </c>
      <c r="U192" s="128"/>
      <c r="V192" s="127"/>
      <c r="W192" s="128">
        <f t="shared" si="74"/>
        <v>18199681.976949569</v>
      </c>
      <c r="X192" s="128">
        <f t="shared" si="74"/>
        <v>952070.86341917433</v>
      </c>
      <c r="Y192" s="130">
        <f t="shared" si="75"/>
        <v>18199681.976949569</v>
      </c>
      <c r="Z192" s="130">
        <f t="shared" si="75"/>
        <v>952070.86341917433</v>
      </c>
      <c r="AA192" s="130">
        <v>951517.34</v>
      </c>
      <c r="AB192" s="130"/>
      <c r="AC192" s="130">
        <f t="shared" si="81"/>
        <v>553.5234191743657</v>
      </c>
      <c r="AD192" s="131">
        <v>0</v>
      </c>
      <c r="AE192" s="131">
        <f t="shared" si="58"/>
        <v>10581.092839653345</v>
      </c>
      <c r="AF192" s="131"/>
      <c r="AG192" s="132"/>
      <c r="AH192" s="132"/>
      <c r="AI192" s="132"/>
      <c r="AJ192" s="132"/>
      <c r="AK192" s="132"/>
      <c r="AL192" s="111">
        <f t="shared" si="72"/>
        <v>553.5234191743657</v>
      </c>
      <c r="AM192" s="111"/>
      <c r="AN192" s="111"/>
      <c r="AO192" s="111"/>
      <c r="AP192" s="111">
        <f t="shared" si="68"/>
        <v>553.5234191743657</v>
      </c>
      <c r="AQ192" s="111"/>
      <c r="AR192" s="111">
        <f t="shared" si="62"/>
        <v>553.5234191743657</v>
      </c>
      <c r="AS192" s="111"/>
      <c r="AT192" s="111">
        <v>0</v>
      </c>
      <c r="AU192" s="111">
        <f t="shared" si="82"/>
        <v>553.5234191743657</v>
      </c>
      <c r="AV192" s="111"/>
      <c r="AW192" s="111"/>
      <c r="AX192" s="111"/>
      <c r="AY192" s="111"/>
      <c r="AZ192" s="111"/>
      <c r="BA192" s="111">
        <f t="shared" si="59"/>
        <v>0</v>
      </c>
      <c r="BB192" s="111"/>
      <c r="BC192" s="111"/>
      <c r="BD192" s="111"/>
      <c r="BE192" s="111"/>
      <c r="BF192" s="111"/>
      <c r="BG192" s="111"/>
      <c r="BH192" s="111">
        <f t="shared" si="60"/>
        <v>0</v>
      </c>
      <c r="BI192" s="111"/>
      <c r="BJ192" s="112">
        <f t="shared" si="64"/>
        <v>11903.729444610015</v>
      </c>
      <c r="BK192" s="134"/>
      <c r="BL192" s="134"/>
      <c r="BM192" s="135"/>
      <c r="BN192" s="135"/>
      <c r="BO192" s="135"/>
      <c r="BP192" s="135"/>
      <c r="BQ192" s="114">
        <f t="shared" si="73"/>
        <v>11903.729444610015</v>
      </c>
      <c r="BR192" s="114">
        <f t="shared" si="69"/>
        <v>13604.262222411446</v>
      </c>
      <c r="BS192" s="136"/>
      <c r="BT192" s="136"/>
      <c r="BU192" s="136"/>
      <c r="BV192" s="115">
        <f t="shared" si="70"/>
        <v>15871.63925948002</v>
      </c>
      <c r="BW192" s="115"/>
      <c r="BX192" s="116">
        <f t="shared" si="63"/>
        <v>24601.040852194034</v>
      </c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>
        <v>0</v>
      </c>
      <c r="CL192" s="116"/>
      <c r="CM192" s="119"/>
    </row>
    <row r="193" spans="1:92" s="120" customFormat="1" ht="25.5" x14ac:dyDescent="0.2">
      <c r="B193" s="99">
        <f t="shared" si="61"/>
        <v>183</v>
      </c>
      <c r="C193" s="122" t="s">
        <v>386</v>
      </c>
      <c r="D193" s="123" t="s">
        <v>387</v>
      </c>
      <c r="E193" s="122" t="s">
        <v>95</v>
      </c>
      <c r="F193" s="100" t="s">
        <v>134</v>
      </c>
      <c r="G193" s="124"/>
      <c r="H193" s="124" t="s">
        <v>344</v>
      </c>
      <c r="I193" s="125"/>
      <c r="J193" s="126"/>
      <c r="K193" s="105">
        <v>7.4999999999999997E-2</v>
      </c>
      <c r="L193" s="127">
        <v>0.9</v>
      </c>
      <c r="M193" s="128">
        <v>9</v>
      </c>
      <c r="N193" s="128">
        <v>4</v>
      </c>
      <c r="O193" s="127">
        <v>12</v>
      </c>
      <c r="P193" s="128"/>
      <c r="Q193" s="128"/>
      <c r="R193" s="128"/>
      <c r="S193" s="128"/>
      <c r="T193" s="129"/>
      <c r="U193" s="128"/>
      <c r="V193" s="127"/>
      <c r="W193" s="128"/>
      <c r="X193" s="128"/>
      <c r="Y193" s="130"/>
      <c r="Z193" s="130"/>
      <c r="AA193" s="130"/>
      <c r="AB193" s="130"/>
      <c r="AC193" s="130"/>
      <c r="AD193" s="131"/>
      <c r="AE193" s="131"/>
      <c r="AF193" s="131"/>
      <c r="AG193" s="132"/>
      <c r="AH193" s="132"/>
      <c r="AI193" s="132"/>
      <c r="AJ193" s="132"/>
      <c r="AK193" s="132"/>
      <c r="AL193" s="111"/>
      <c r="AM193" s="111"/>
      <c r="AN193" s="111"/>
      <c r="AO193" s="111"/>
      <c r="AP193" s="111"/>
      <c r="AQ193" s="111"/>
      <c r="AR193" s="111">
        <f t="shared" si="62"/>
        <v>0</v>
      </c>
      <c r="AS193" s="111"/>
      <c r="AT193" s="111">
        <v>0</v>
      </c>
      <c r="AU193" s="111">
        <f t="shared" si="82"/>
        <v>0</v>
      </c>
      <c r="AV193" s="111"/>
      <c r="AW193" s="111"/>
      <c r="AX193" s="111"/>
      <c r="AY193" s="111"/>
      <c r="AZ193" s="111"/>
      <c r="BA193" s="300">
        <f t="shared" ref="BA193:BA194" si="83">CL193*7.25%*0.9*3.5/12</f>
        <v>285468.75</v>
      </c>
      <c r="BB193" s="111"/>
      <c r="BC193" s="111"/>
      <c r="BD193" s="111">
        <v>237722.11</v>
      </c>
      <c r="BE193" s="111"/>
      <c r="BF193" s="111"/>
      <c r="BG193" s="111"/>
      <c r="BH193" s="111">
        <f t="shared" si="60"/>
        <v>47746.640000000014</v>
      </c>
      <c r="BI193" s="111">
        <v>0</v>
      </c>
      <c r="BJ193" s="112"/>
      <c r="BK193" s="134"/>
      <c r="BL193" s="134"/>
      <c r="BM193" s="135"/>
      <c r="BN193" s="135"/>
      <c r="BO193" s="135"/>
      <c r="BP193" s="135"/>
      <c r="BQ193" s="114"/>
      <c r="BR193" s="114"/>
      <c r="BS193" s="136"/>
      <c r="BT193" s="136"/>
      <c r="BU193" s="136"/>
      <c r="BV193" s="115"/>
      <c r="BW193" s="115"/>
      <c r="BX193" s="116">
        <f t="shared" si="63"/>
        <v>0</v>
      </c>
      <c r="BY193" s="116"/>
      <c r="BZ193" s="116"/>
      <c r="CA193" s="116"/>
      <c r="CB193" s="116"/>
      <c r="CC193" s="116"/>
      <c r="CD193" s="116"/>
      <c r="CE193" s="116"/>
      <c r="CF193" s="116"/>
      <c r="CG193" s="116">
        <v>15000000</v>
      </c>
      <c r="CH193" s="116"/>
      <c r="CI193" s="116"/>
      <c r="CJ193" s="116"/>
      <c r="CK193" s="116">
        <v>0</v>
      </c>
      <c r="CL193" s="116">
        <v>15000000</v>
      </c>
      <c r="CM193" s="119" t="s">
        <v>341</v>
      </c>
      <c r="CN193" s="120" t="s">
        <v>388</v>
      </c>
    </row>
    <row r="194" spans="1:92" s="120" customFormat="1" ht="25.5" x14ac:dyDescent="0.2">
      <c r="B194" s="99">
        <f t="shared" si="61"/>
        <v>184</v>
      </c>
      <c r="C194" s="122" t="s">
        <v>386</v>
      </c>
      <c r="D194" s="123" t="s">
        <v>387</v>
      </c>
      <c r="E194" s="122" t="s">
        <v>95</v>
      </c>
      <c r="F194" s="100" t="s">
        <v>134</v>
      </c>
      <c r="G194" s="124"/>
      <c r="H194" s="124" t="s">
        <v>97</v>
      </c>
      <c r="I194" s="125"/>
      <c r="J194" s="126"/>
      <c r="K194" s="105">
        <v>7.4999999999999997E-2</v>
      </c>
      <c r="L194" s="127">
        <v>0.9</v>
      </c>
      <c r="M194" s="128">
        <v>9</v>
      </c>
      <c r="N194" s="128">
        <v>4</v>
      </c>
      <c r="O194" s="127">
        <v>12</v>
      </c>
      <c r="P194" s="128"/>
      <c r="Q194" s="128"/>
      <c r="R194" s="128"/>
      <c r="S194" s="128"/>
      <c r="T194" s="129"/>
      <c r="U194" s="128"/>
      <c r="V194" s="127"/>
      <c r="W194" s="128"/>
      <c r="X194" s="128"/>
      <c r="Y194" s="130"/>
      <c r="Z194" s="130"/>
      <c r="AA194" s="130"/>
      <c r="AB194" s="130"/>
      <c r="AC194" s="130"/>
      <c r="AD194" s="131"/>
      <c r="AE194" s="131"/>
      <c r="AF194" s="131"/>
      <c r="AG194" s="132"/>
      <c r="AH194" s="132"/>
      <c r="AI194" s="132"/>
      <c r="AJ194" s="132"/>
      <c r="AK194" s="132"/>
      <c r="AL194" s="111"/>
      <c r="AM194" s="111"/>
      <c r="AN194" s="111"/>
      <c r="AO194" s="111"/>
      <c r="AP194" s="111"/>
      <c r="AQ194" s="111"/>
      <c r="AR194" s="111">
        <f t="shared" si="62"/>
        <v>0</v>
      </c>
      <c r="AS194" s="111"/>
      <c r="AT194" s="111">
        <v>0</v>
      </c>
      <c r="AU194" s="111">
        <f t="shared" si="82"/>
        <v>0</v>
      </c>
      <c r="AV194" s="111"/>
      <c r="AW194" s="111"/>
      <c r="AX194" s="111"/>
      <c r="AY194" s="111"/>
      <c r="AZ194" s="111"/>
      <c r="BA194" s="300">
        <f t="shared" si="83"/>
        <v>475781.24999999994</v>
      </c>
      <c r="BB194" s="111"/>
      <c r="BC194" s="111"/>
      <c r="BD194" s="111">
        <v>190312.5</v>
      </c>
      <c r="BE194" s="111"/>
      <c r="BF194" s="111"/>
      <c r="BG194" s="111"/>
      <c r="BH194" s="111">
        <f t="shared" si="60"/>
        <v>285468.74999999994</v>
      </c>
      <c r="BI194" s="111">
        <v>0</v>
      </c>
      <c r="BJ194" s="112"/>
      <c r="BK194" s="134"/>
      <c r="BL194" s="134"/>
      <c r="BM194" s="135"/>
      <c r="BN194" s="135"/>
      <c r="BO194" s="135"/>
      <c r="BP194" s="135"/>
      <c r="BQ194" s="114"/>
      <c r="BR194" s="114"/>
      <c r="BS194" s="136"/>
      <c r="BT194" s="136"/>
      <c r="BU194" s="136"/>
      <c r="BV194" s="115"/>
      <c r="BW194" s="115"/>
      <c r="BX194" s="116">
        <f t="shared" si="63"/>
        <v>0</v>
      </c>
      <c r="BY194" s="116"/>
      <c r="BZ194" s="116"/>
      <c r="CA194" s="116"/>
      <c r="CB194" s="116"/>
      <c r="CC194" s="116"/>
      <c r="CD194" s="116"/>
      <c r="CE194" s="116"/>
      <c r="CF194" s="116"/>
      <c r="CG194" s="116">
        <v>10000000</v>
      </c>
      <c r="CH194" s="116"/>
      <c r="CI194" s="116"/>
      <c r="CJ194" s="116"/>
      <c r="CK194" s="116">
        <v>0</v>
      </c>
      <c r="CL194" s="116">
        <v>25000000</v>
      </c>
      <c r="CM194" s="217" t="s">
        <v>135</v>
      </c>
      <c r="CN194" s="118" t="s">
        <v>95</v>
      </c>
    </row>
    <row r="195" spans="1:92" s="120" customFormat="1" ht="25.5" x14ac:dyDescent="0.2">
      <c r="B195" s="99">
        <f t="shared" si="61"/>
        <v>185</v>
      </c>
      <c r="C195" s="122" t="s">
        <v>386</v>
      </c>
      <c r="D195" s="123" t="s">
        <v>387</v>
      </c>
      <c r="E195" s="122" t="s">
        <v>161</v>
      </c>
      <c r="F195" s="100" t="s">
        <v>134</v>
      </c>
      <c r="G195" s="124"/>
      <c r="H195" s="124" t="s">
        <v>97</v>
      </c>
      <c r="I195" s="125"/>
      <c r="J195" s="126"/>
      <c r="K195" s="105"/>
      <c r="L195" s="127"/>
      <c r="M195" s="128"/>
      <c r="N195" s="128"/>
      <c r="O195" s="127"/>
      <c r="P195" s="128"/>
      <c r="Q195" s="128"/>
      <c r="R195" s="128"/>
      <c r="S195" s="128"/>
      <c r="T195" s="129"/>
      <c r="U195" s="128"/>
      <c r="V195" s="127"/>
      <c r="W195" s="128"/>
      <c r="X195" s="128"/>
      <c r="Y195" s="130"/>
      <c r="Z195" s="130"/>
      <c r="AA195" s="130"/>
      <c r="AB195" s="130"/>
      <c r="AC195" s="130"/>
      <c r="AD195" s="131"/>
      <c r="AE195" s="131"/>
      <c r="AF195" s="131"/>
      <c r="AG195" s="132"/>
      <c r="AH195" s="132"/>
      <c r="AI195" s="132"/>
      <c r="AJ195" s="132"/>
      <c r="AK195" s="132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313"/>
      <c r="BB195" s="111"/>
      <c r="BC195" s="111"/>
      <c r="BD195" s="111"/>
      <c r="BE195" s="111"/>
      <c r="BF195" s="111">
        <v>244687.5</v>
      </c>
      <c r="BG195" s="111"/>
      <c r="BH195" s="111">
        <f t="shared" si="60"/>
        <v>-244687.5</v>
      </c>
      <c r="BI195" s="111">
        <v>0</v>
      </c>
      <c r="BJ195" s="112"/>
      <c r="BK195" s="134"/>
      <c r="BL195" s="134"/>
      <c r="BM195" s="135"/>
      <c r="BN195" s="135"/>
      <c r="BO195" s="135"/>
      <c r="BP195" s="135"/>
      <c r="BQ195" s="114"/>
      <c r="BR195" s="114"/>
      <c r="BS195" s="136"/>
      <c r="BT195" s="136"/>
      <c r="BU195" s="136"/>
      <c r="BV195" s="115"/>
      <c r="BW195" s="115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>
        <v>15000000</v>
      </c>
      <c r="CJ195" s="116"/>
      <c r="CK195" s="116">
        <v>0</v>
      </c>
      <c r="CL195" s="116"/>
      <c r="CM195" s="217"/>
      <c r="CN195" s="118"/>
    </row>
    <row r="196" spans="1:92" s="120" customFormat="1" ht="25.5" x14ac:dyDescent="0.2">
      <c r="A196" s="120">
        <f>A191+1</f>
        <v>96</v>
      </c>
      <c r="B196" s="99">
        <f t="shared" si="61"/>
        <v>186</v>
      </c>
      <c r="C196" s="122" t="s">
        <v>389</v>
      </c>
      <c r="D196" s="123" t="s">
        <v>390</v>
      </c>
      <c r="E196" s="122" t="s">
        <v>95</v>
      </c>
      <c r="F196" s="100" t="s">
        <v>134</v>
      </c>
      <c r="G196" s="124">
        <v>43525</v>
      </c>
      <c r="H196" s="124">
        <v>43525</v>
      </c>
      <c r="I196" s="125">
        <v>12000000</v>
      </c>
      <c r="J196" s="126">
        <v>7.7499999999999999E-2</v>
      </c>
      <c r="K196" s="105">
        <v>7.4999999999999997E-2</v>
      </c>
      <c r="L196" s="127">
        <v>0.9</v>
      </c>
      <c r="M196" s="128">
        <v>9</v>
      </c>
      <c r="N196" s="128"/>
      <c r="O196" s="127">
        <v>12</v>
      </c>
      <c r="P196" s="128">
        <f t="shared" si="79"/>
        <v>627750</v>
      </c>
      <c r="Q196" s="128">
        <f t="shared" si="76"/>
        <v>7279872.7907798281</v>
      </c>
      <c r="R196" s="128">
        <f t="shared" si="80"/>
        <v>380828.34536766977</v>
      </c>
      <c r="S196" s="128">
        <f t="shared" si="77"/>
        <v>246921.65463233023</v>
      </c>
      <c r="T196" s="129">
        <v>0.606656065898319</v>
      </c>
      <c r="U196" s="128"/>
      <c r="V196" s="127"/>
      <c r="W196" s="128">
        <f t="shared" si="74"/>
        <v>7279872.7907798281</v>
      </c>
      <c r="X196" s="128">
        <f t="shared" si="74"/>
        <v>380828.34536766977</v>
      </c>
      <c r="Y196" s="130">
        <f t="shared" si="75"/>
        <v>7279872.7907798281</v>
      </c>
      <c r="Z196" s="130">
        <f t="shared" si="75"/>
        <v>380828.34536766977</v>
      </c>
      <c r="AA196" s="130"/>
      <c r="AB196" s="130">
        <f>901664.06-AB197</f>
        <v>380828.35000000003</v>
      </c>
      <c r="AC196" s="130">
        <f t="shared" si="81"/>
        <v>-4.6323302667587996E-3</v>
      </c>
      <c r="AD196" s="131">
        <v>-3620286.2207453903</v>
      </c>
      <c r="AE196" s="131">
        <f t="shared" si="58"/>
        <v>-8.8551116210443009E-2</v>
      </c>
      <c r="AF196" s="131"/>
      <c r="AG196" s="132"/>
      <c r="AH196" s="132"/>
      <c r="AI196" s="132"/>
      <c r="AJ196" s="132"/>
      <c r="AK196" s="132"/>
      <c r="AL196" s="111">
        <f t="shared" si="72"/>
        <v>-4.6323302667587996E-3</v>
      </c>
      <c r="AM196" s="111"/>
      <c r="AN196" s="111"/>
      <c r="AO196" s="111"/>
      <c r="AP196" s="111">
        <f t="shared" si="68"/>
        <v>-4.6323302667587996E-3</v>
      </c>
      <c r="AQ196" s="111"/>
      <c r="AR196" s="111">
        <f t="shared" si="62"/>
        <v>-4.6323302667587996E-3</v>
      </c>
      <c r="AS196" s="111"/>
      <c r="AT196" s="111">
        <v>0</v>
      </c>
      <c r="AU196" s="111">
        <f t="shared" si="82"/>
        <v>-4.6323302667587996E-3</v>
      </c>
      <c r="AV196" s="111"/>
      <c r="AW196" s="111"/>
      <c r="AX196" s="111"/>
      <c r="AY196" s="111"/>
      <c r="AZ196" s="111"/>
      <c r="BA196" s="111">
        <f t="shared" si="59"/>
        <v>0</v>
      </c>
      <c r="BB196" s="111"/>
      <c r="BC196" s="111"/>
      <c r="BD196" s="111"/>
      <c r="BE196" s="111"/>
      <c r="BF196" s="111"/>
      <c r="BG196" s="111"/>
      <c r="BH196" s="111">
        <f t="shared" si="60"/>
        <v>0</v>
      </c>
      <c r="BI196" s="111"/>
      <c r="BJ196" s="133">
        <f t="shared" si="64"/>
        <v>-9.9620005736748368E-2</v>
      </c>
      <c r="BK196" s="134"/>
      <c r="BL196" s="134"/>
      <c r="BM196" s="135"/>
      <c r="BN196" s="135"/>
      <c r="BO196" s="135"/>
      <c r="BP196" s="135"/>
      <c r="BQ196" s="114">
        <f t="shared" si="73"/>
        <v>-9.9620005736748368E-2</v>
      </c>
      <c r="BR196" s="114">
        <f t="shared" si="69"/>
        <v>-0.11385143512771242</v>
      </c>
      <c r="BS196" s="136"/>
      <c r="BT196" s="136"/>
      <c r="BU196" s="136"/>
      <c r="BV196" s="115">
        <f t="shared" si="70"/>
        <v>-0.1328266743156645</v>
      </c>
      <c r="BW196" s="115"/>
      <c r="BX196" s="116">
        <f t="shared" si="63"/>
        <v>-0.20588134518927997</v>
      </c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9"/>
    </row>
    <row r="197" spans="1:92" s="118" customFormat="1" x14ac:dyDescent="0.2">
      <c r="B197" s="99">
        <f t="shared" si="61"/>
        <v>187</v>
      </c>
      <c r="C197" s="100" t="s">
        <v>389</v>
      </c>
      <c r="D197" s="101" t="s">
        <v>390</v>
      </c>
      <c r="E197" s="100" t="s">
        <v>391</v>
      </c>
      <c r="F197" s="100" t="s">
        <v>134</v>
      </c>
      <c r="G197" s="103">
        <v>43525</v>
      </c>
      <c r="H197" s="103" t="s">
        <v>97</v>
      </c>
      <c r="I197" s="104">
        <v>18000000</v>
      </c>
      <c r="J197" s="105">
        <v>7.7499999999999999E-2</v>
      </c>
      <c r="K197" s="105">
        <v>7.4999999999999997E-2</v>
      </c>
      <c r="L197" s="106">
        <v>0.9</v>
      </c>
      <c r="M197" s="107">
        <v>9</v>
      </c>
      <c r="N197" s="107">
        <v>4</v>
      </c>
      <c r="O197" s="106">
        <v>12</v>
      </c>
      <c r="P197" s="107">
        <f t="shared" si="79"/>
        <v>941625</v>
      </c>
      <c r="Q197" s="107">
        <f t="shared" si="76"/>
        <v>10919809.186169742</v>
      </c>
      <c r="R197" s="107">
        <f t="shared" si="80"/>
        <v>571242.51805150451</v>
      </c>
      <c r="S197" s="107">
        <f t="shared" si="77"/>
        <v>370382.48194849549</v>
      </c>
      <c r="T197" s="108">
        <v>0.606656065898319</v>
      </c>
      <c r="U197" s="107"/>
      <c r="V197" s="106"/>
      <c r="W197" s="107">
        <f t="shared" si="74"/>
        <v>10919809.186169742</v>
      </c>
      <c r="X197" s="107">
        <f t="shared" si="74"/>
        <v>571242.51805150451</v>
      </c>
      <c r="Y197" s="109">
        <f t="shared" si="75"/>
        <v>10919809.186169742</v>
      </c>
      <c r="Z197" s="109">
        <f t="shared" si="75"/>
        <v>571242.51805150451</v>
      </c>
      <c r="AA197" s="109"/>
      <c r="AB197" s="109">
        <v>520835.71</v>
      </c>
      <c r="AC197" s="109">
        <f t="shared" si="81"/>
        <v>50406.808051504486</v>
      </c>
      <c r="AD197" s="110">
        <v>0</v>
      </c>
      <c r="AE197" s="110">
        <f t="shared" si="58"/>
        <v>963571.00217929739</v>
      </c>
      <c r="AF197" s="110"/>
      <c r="AG197" s="111"/>
      <c r="AH197" s="111"/>
      <c r="AI197" s="111"/>
      <c r="AJ197" s="111"/>
      <c r="AK197" s="111"/>
      <c r="AL197" s="111">
        <f t="shared" si="72"/>
        <v>50406.808051504486</v>
      </c>
      <c r="AM197" s="111"/>
      <c r="AN197" s="111"/>
      <c r="AO197" s="111"/>
      <c r="AP197" s="111">
        <f t="shared" si="68"/>
        <v>50406.808051504486</v>
      </c>
      <c r="AQ197" s="111">
        <v>30487.5</v>
      </c>
      <c r="AR197" s="111">
        <f t="shared" si="62"/>
        <v>19919.308051504486</v>
      </c>
      <c r="AS197" s="111"/>
      <c r="AT197" s="111">
        <v>0</v>
      </c>
      <c r="AU197" s="111">
        <f t="shared" si="82"/>
        <v>19919.308051504486</v>
      </c>
      <c r="AV197" s="111"/>
      <c r="AW197" s="111"/>
      <c r="AX197" s="111"/>
      <c r="AY197" s="111">
        <v>200610</v>
      </c>
      <c r="AZ197" s="111">
        <v>193923</v>
      </c>
      <c r="BA197" s="111">
        <f>293625-6687</f>
        <v>286938</v>
      </c>
      <c r="BB197" s="111"/>
      <c r="BC197" s="111"/>
      <c r="BD197" s="111"/>
      <c r="BE197" s="111"/>
      <c r="BF197" s="111"/>
      <c r="BG197" s="111"/>
      <c r="BH197" s="111">
        <f t="shared" si="60"/>
        <v>286938</v>
      </c>
      <c r="BI197" s="111">
        <v>0</v>
      </c>
      <c r="BJ197" s="112">
        <f t="shared" si="64"/>
        <v>1084017.3774517095</v>
      </c>
      <c r="BK197" s="112"/>
      <c r="BL197" s="112"/>
      <c r="BM197" s="113"/>
      <c r="BN197" s="113"/>
      <c r="BO197" s="113"/>
      <c r="BP197" s="113"/>
      <c r="BQ197" s="114">
        <f t="shared" si="73"/>
        <v>1084017.3774517095</v>
      </c>
      <c r="BR197" s="114">
        <f t="shared" si="69"/>
        <v>1238877.0028019538</v>
      </c>
      <c r="BS197" s="98"/>
      <c r="BT197" s="98"/>
      <c r="BU197" s="98"/>
      <c r="BV197" s="115">
        <f t="shared" si="70"/>
        <v>1445356.503268946</v>
      </c>
      <c r="BW197" s="115">
        <v>1084000</v>
      </c>
      <c r="BX197" s="116">
        <f t="shared" si="63"/>
        <v>885302.58006686601</v>
      </c>
      <c r="BY197" s="116">
        <v>885302.58</v>
      </c>
      <c r="BZ197" s="116"/>
      <c r="CA197" s="116"/>
      <c r="CB197" s="116"/>
      <c r="CC197" s="116">
        <v>8916000</v>
      </c>
      <c r="CD197" s="116">
        <v>8916000</v>
      </c>
      <c r="CE197" s="116"/>
      <c r="CF197" s="116"/>
      <c r="CG197" s="116"/>
      <c r="CH197" s="116"/>
      <c r="CI197" s="116"/>
      <c r="CJ197" s="116"/>
      <c r="CK197" s="116">
        <v>0</v>
      </c>
      <c r="CL197" s="116">
        <v>25000000</v>
      </c>
      <c r="CM197" s="217" t="s">
        <v>135</v>
      </c>
      <c r="CN197" s="118" t="s">
        <v>95</v>
      </c>
    </row>
    <row r="198" spans="1:92" s="118" customFormat="1" ht="25.5" x14ac:dyDescent="0.2">
      <c r="B198" s="99">
        <f t="shared" si="61"/>
        <v>188</v>
      </c>
      <c r="C198" s="100" t="s">
        <v>389</v>
      </c>
      <c r="D198" s="101" t="s">
        <v>390</v>
      </c>
      <c r="E198" s="100" t="s">
        <v>95</v>
      </c>
      <c r="F198" s="100"/>
      <c r="G198" s="103"/>
      <c r="H198" s="103" t="s">
        <v>97</v>
      </c>
      <c r="I198" s="104"/>
      <c r="J198" s="105"/>
      <c r="K198" s="105">
        <v>7.4999999999999997E-2</v>
      </c>
      <c r="L198" s="106">
        <v>0.9</v>
      </c>
      <c r="M198" s="107">
        <v>9</v>
      </c>
      <c r="N198" s="107">
        <v>4</v>
      </c>
      <c r="O198" s="106">
        <v>12</v>
      </c>
      <c r="P198" s="107"/>
      <c r="Q198" s="107"/>
      <c r="R198" s="107"/>
      <c r="S198" s="107"/>
      <c r="T198" s="108"/>
      <c r="U198" s="107"/>
      <c r="V198" s="106"/>
      <c r="W198" s="107"/>
      <c r="X198" s="107"/>
      <c r="Y198" s="109"/>
      <c r="Z198" s="109"/>
      <c r="AA198" s="109"/>
      <c r="AB198" s="109"/>
      <c r="AC198" s="109"/>
      <c r="AD198" s="110"/>
      <c r="AE198" s="110"/>
      <c r="AF198" s="110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>
        <f t="shared" si="62"/>
        <v>0</v>
      </c>
      <c r="AS198" s="111"/>
      <c r="AT198" s="111"/>
      <c r="AU198" s="111">
        <f t="shared" si="82"/>
        <v>0</v>
      </c>
      <c r="AV198" s="111"/>
      <c r="AW198" s="111"/>
      <c r="AX198" s="111"/>
      <c r="AY198" s="111"/>
      <c r="AZ198" s="111"/>
      <c r="BA198" s="300">
        <f t="shared" ref="BA198" si="84">CL198*7.25%*0.9*3.5/12</f>
        <v>190312.5</v>
      </c>
      <c r="BB198" s="111"/>
      <c r="BC198" s="111"/>
      <c r="BD198" s="111">
        <v>190537.19</v>
      </c>
      <c r="BE198" s="111"/>
      <c r="BF198" s="111"/>
      <c r="BG198" s="111"/>
      <c r="BH198" s="111">
        <f t="shared" si="60"/>
        <v>-224.69000000000233</v>
      </c>
      <c r="BI198" s="111">
        <v>0</v>
      </c>
      <c r="BJ198" s="112"/>
      <c r="BK198" s="112"/>
      <c r="BL198" s="112"/>
      <c r="BM198" s="113"/>
      <c r="BN198" s="113"/>
      <c r="BO198" s="113"/>
      <c r="BP198" s="113"/>
      <c r="BQ198" s="114"/>
      <c r="BR198" s="114"/>
      <c r="BS198" s="98"/>
      <c r="BT198" s="98"/>
      <c r="BU198" s="98"/>
      <c r="BV198" s="115"/>
      <c r="BW198" s="115"/>
      <c r="BX198" s="116">
        <f t="shared" si="63"/>
        <v>0</v>
      </c>
      <c r="BY198" s="116"/>
      <c r="BZ198" s="116"/>
      <c r="CA198" s="116"/>
      <c r="CB198" s="116"/>
      <c r="CC198" s="116"/>
      <c r="CD198" s="116"/>
      <c r="CE198" s="116"/>
      <c r="CF198" s="116"/>
      <c r="CG198" s="116">
        <v>10000000</v>
      </c>
      <c r="CH198" s="116"/>
      <c r="CI198" s="116"/>
      <c r="CJ198" s="116"/>
      <c r="CK198" s="116">
        <v>0</v>
      </c>
      <c r="CL198" s="116">
        <v>10000000</v>
      </c>
      <c r="CM198" s="119" t="s">
        <v>341</v>
      </c>
      <c r="CN198" s="120" t="s">
        <v>230</v>
      </c>
    </row>
    <row r="199" spans="1:92" s="118" customFormat="1" ht="25.5" x14ac:dyDescent="0.2">
      <c r="B199" s="99">
        <f t="shared" si="61"/>
        <v>189</v>
      </c>
      <c r="C199" s="100" t="s">
        <v>389</v>
      </c>
      <c r="D199" s="101" t="s">
        <v>390</v>
      </c>
      <c r="E199" s="100" t="s">
        <v>161</v>
      </c>
      <c r="F199" s="100"/>
      <c r="G199" s="103"/>
      <c r="H199" s="103" t="s">
        <v>97</v>
      </c>
      <c r="I199" s="104"/>
      <c r="J199" s="105"/>
      <c r="K199" s="105"/>
      <c r="L199" s="106"/>
      <c r="M199" s="107"/>
      <c r="N199" s="107"/>
      <c r="O199" s="106"/>
      <c r="P199" s="107"/>
      <c r="Q199" s="107"/>
      <c r="R199" s="107"/>
      <c r="S199" s="107"/>
      <c r="T199" s="108"/>
      <c r="U199" s="107"/>
      <c r="V199" s="106"/>
      <c r="W199" s="107"/>
      <c r="X199" s="107"/>
      <c r="Y199" s="109"/>
      <c r="Z199" s="109"/>
      <c r="AA199" s="109"/>
      <c r="AB199" s="109"/>
      <c r="AC199" s="109"/>
      <c r="AD199" s="110"/>
      <c r="AE199" s="110"/>
      <c r="AF199" s="110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313"/>
      <c r="BB199" s="111"/>
      <c r="BC199" s="111"/>
      <c r="BD199" s="111"/>
      <c r="BE199" s="111"/>
      <c r="BF199" s="111">
        <v>244687.5</v>
      </c>
      <c r="BG199" s="111"/>
      <c r="BH199" s="111">
        <f t="shared" si="60"/>
        <v>-244687.5</v>
      </c>
      <c r="BI199" s="111">
        <v>0</v>
      </c>
      <c r="BJ199" s="112"/>
      <c r="BK199" s="112"/>
      <c r="BL199" s="112"/>
      <c r="BM199" s="113"/>
      <c r="BN199" s="113"/>
      <c r="BO199" s="113"/>
      <c r="BP199" s="113"/>
      <c r="BQ199" s="114"/>
      <c r="BR199" s="114"/>
      <c r="BS199" s="98"/>
      <c r="BT199" s="98"/>
      <c r="BU199" s="98"/>
      <c r="BV199" s="115"/>
      <c r="BW199" s="115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>
        <v>15000000</v>
      </c>
      <c r="CJ199" s="116"/>
      <c r="CK199" s="116">
        <v>0</v>
      </c>
      <c r="CL199" s="116"/>
      <c r="CM199" s="119"/>
      <c r="CN199" s="120"/>
    </row>
    <row r="200" spans="1:92" s="118" customFormat="1" ht="38.25" x14ac:dyDescent="0.2">
      <c r="A200" s="118">
        <f>A196+1</f>
        <v>97</v>
      </c>
      <c r="B200" s="99">
        <f t="shared" si="61"/>
        <v>190</v>
      </c>
      <c r="C200" s="100" t="s">
        <v>392</v>
      </c>
      <c r="D200" s="101" t="s">
        <v>393</v>
      </c>
      <c r="E200" s="100" t="s">
        <v>391</v>
      </c>
      <c r="F200" s="100" t="s">
        <v>134</v>
      </c>
      <c r="G200" s="103">
        <v>43525</v>
      </c>
      <c r="H200" s="103" t="s">
        <v>130</v>
      </c>
      <c r="I200" s="104">
        <v>40000000</v>
      </c>
      <c r="J200" s="105">
        <v>7.7499999999999999E-2</v>
      </c>
      <c r="K200" s="105">
        <v>7.4999999999999997E-2</v>
      </c>
      <c r="L200" s="106">
        <v>0.9</v>
      </c>
      <c r="M200" s="107">
        <v>9</v>
      </c>
      <c r="N200" s="107">
        <v>4</v>
      </c>
      <c r="O200" s="106">
        <v>12</v>
      </c>
      <c r="P200" s="107">
        <f t="shared" si="79"/>
        <v>2092500</v>
      </c>
      <c r="Q200" s="107">
        <f t="shared" si="76"/>
        <v>24266242.635932758</v>
      </c>
      <c r="R200" s="107">
        <f t="shared" si="80"/>
        <v>1269427.8178922324</v>
      </c>
      <c r="S200" s="107">
        <f t="shared" si="77"/>
        <v>823072.18210776756</v>
      </c>
      <c r="T200" s="108">
        <v>0.606656065898319</v>
      </c>
      <c r="U200" s="107"/>
      <c r="V200" s="106"/>
      <c r="W200" s="107">
        <f t="shared" si="74"/>
        <v>24266242.635932758</v>
      </c>
      <c r="X200" s="107">
        <f t="shared" si="74"/>
        <v>1269427.8178922324</v>
      </c>
      <c r="Y200" s="109">
        <f t="shared" si="75"/>
        <v>24266242.635932758</v>
      </c>
      <c r="Z200" s="109">
        <f t="shared" si="75"/>
        <v>1269427.8178922324</v>
      </c>
      <c r="AA200" s="109">
        <f>348749.99+813749.99</f>
        <v>1162499.98</v>
      </c>
      <c r="AB200" s="109"/>
      <c r="AC200" s="109">
        <f t="shared" si="81"/>
        <v>106927.83789223246</v>
      </c>
      <c r="AD200" s="110">
        <v>23679236.744678959</v>
      </c>
      <c r="AE200" s="110">
        <f t="shared" si="58"/>
        <v>2044020.7960283388</v>
      </c>
      <c r="AF200" s="110"/>
      <c r="AG200" s="111"/>
      <c r="AH200" s="111"/>
      <c r="AI200" s="111"/>
      <c r="AJ200" s="111"/>
      <c r="AK200" s="111"/>
      <c r="AL200" s="111">
        <f t="shared" si="72"/>
        <v>106927.83789223246</v>
      </c>
      <c r="AM200" s="111"/>
      <c r="AN200" s="111"/>
      <c r="AO200" s="111"/>
      <c r="AP200" s="111">
        <f t="shared" si="68"/>
        <v>106927.83789223246</v>
      </c>
      <c r="AQ200" s="111">
        <v>106927.84</v>
      </c>
      <c r="AR200" s="111">
        <f t="shared" si="62"/>
        <v>-2.107767533743754E-3</v>
      </c>
      <c r="AS200" s="111"/>
      <c r="AT200" s="111">
        <v>0</v>
      </c>
      <c r="AU200" s="111">
        <f t="shared" si="82"/>
        <v>-2.107767533743754E-3</v>
      </c>
      <c r="AV200" s="111"/>
      <c r="AW200" s="111"/>
      <c r="AX200" s="111"/>
      <c r="AY200" s="111"/>
      <c r="AZ200" s="111"/>
      <c r="BA200" s="85">
        <f t="shared" si="59"/>
        <v>0</v>
      </c>
      <c r="BB200" s="85"/>
      <c r="BC200" s="85"/>
      <c r="BD200" s="85"/>
      <c r="BE200" s="85"/>
      <c r="BF200" s="85"/>
      <c r="BG200" s="85"/>
      <c r="BH200" s="111">
        <f t="shared" ref="BH200:BH264" si="85">BA200-BB200-BC200-BD200-BE200-BF200-BG200</f>
        <v>0</v>
      </c>
      <c r="BI200" s="111"/>
      <c r="BJ200" s="112">
        <f t="shared" si="64"/>
        <v>2299523.3955318811</v>
      </c>
      <c r="BK200" s="112"/>
      <c r="BL200" s="112"/>
      <c r="BM200" s="113"/>
      <c r="BN200" s="113"/>
      <c r="BO200" s="113"/>
      <c r="BP200" s="113"/>
      <c r="BQ200" s="114">
        <f t="shared" si="73"/>
        <v>2299523.3955318811</v>
      </c>
      <c r="BR200" s="114">
        <f t="shared" si="69"/>
        <v>2628026.7377507212</v>
      </c>
      <c r="BS200" s="98"/>
      <c r="BT200" s="98"/>
      <c r="BU200" s="98"/>
      <c r="BV200" s="115">
        <f t="shared" si="70"/>
        <v>3066031.194042508</v>
      </c>
      <c r="BW200" s="115">
        <v>29000000</v>
      </c>
      <c r="BX200" s="116">
        <f t="shared" si="63"/>
        <v>-9.3678557055277958E-2</v>
      </c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>
        <v>0</v>
      </c>
      <c r="CL200" s="116">
        <v>72000000</v>
      </c>
      <c r="CM200" s="217" t="s">
        <v>394</v>
      </c>
      <c r="CN200" s="117" t="s">
        <v>395</v>
      </c>
    </row>
    <row r="201" spans="1:92" s="118" customFormat="1" ht="25.5" x14ac:dyDescent="0.2">
      <c r="B201" s="99">
        <f t="shared" si="61"/>
        <v>191</v>
      </c>
      <c r="C201" s="100" t="s">
        <v>392</v>
      </c>
      <c r="D201" s="101" t="s">
        <v>393</v>
      </c>
      <c r="E201" s="100" t="s">
        <v>95</v>
      </c>
      <c r="F201" s="100" t="s">
        <v>134</v>
      </c>
      <c r="G201" s="103">
        <v>43525</v>
      </c>
      <c r="H201" s="103" t="s">
        <v>97</v>
      </c>
      <c r="I201" s="104">
        <v>40000000</v>
      </c>
      <c r="J201" s="105">
        <v>7.7499999999999999E-2</v>
      </c>
      <c r="K201" s="105">
        <v>7.4999999999999997E-2</v>
      </c>
      <c r="L201" s="106">
        <v>0.9</v>
      </c>
      <c r="M201" s="107">
        <v>9</v>
      </c>
      <c r="N201" s="107">
        <v>3</v>
      </c>
      <c r="O201" s="106">
        <v>12</v>
      </c>
      <c r="P201" s="107">
        <f t="shared" si="79"/>
        <v>2092500</v>
      </c>
      <c r="Q201" s="107">
        <f t="shared" si="76"/>
        <v>24266242.635932758</v>
      </c>
      <c r="R201" s="107">
        <f t="shared" si="80"/>
        <v>1269427.8178922324</v>
      </c>
      <c r="S201" s="107">
        <f t="shared" si="77"/>
        <v>823072.18210776756</v>
      </c>
      <c r="T201" s="108">
        <v>0.606656065898319</v>
      </c>
      <c r="U201" s="107"/>
      <c r="V201" s="106"/>
      <c r="W201" s="107">
        <f t="shared" si="74"/>
        <v>24266242.635932758</v>
      </c>
      <c r="X201" s="107">
        <f t="shared" si="74"/>
        <v>1269427.8178922324</v>
      </c>
      <c r="Y201" s="109">
        <f t="shared" si="75"/>
        <v>24266242.635932758</v>
      </c>
      <c r="Z201" s="109">
        <f t="shared" si="75"/>
        <v>1269427.8178922324</v>
      </c>
      <c r="AA201" s="109"/>
      <c r="AB201" s="109"/>
      <c r="AC201" s="109">
        <f t="shared" si="81"/>
        <v>1269427.8178922324</v>
      </c>
      <c r="AD201" s="110">
        <v>0</v>
      </c>
      <c r="AE201" s="110">
        <f t="shared" si="58"/>
        <v>24266242.635932758</v>
      </c>
      <c r="AF201" s="110"/>
      <c r="AG201" s="111"/>
      <c r="AH201" s="111"/>
      <c r="AI201" s="111"/>
      <c r="AJ201" s="111"/>
      <c r="AK201" s="111"/>
      <c r="AL201" s="111">
        <f t="shared" si="72"/>
        <v>1269427.8178922324</v>
      </c>
      <c r="AM201" s="111"/>
      <c r="AN201" s="111"/>
      <c r="AO201" s="111"/>
      <c r="AP201" s="111">
        <f t="shared" si="68"/>
        <v>1269427.8178922324</v>
      </c>
      <c r="AQ201" s="111">
        <v>1018072.16</v>
      </c>
      <c r="AR201" s="111">
        <f t="shared" si="62"/>
        <v>251355.65789223241</v>
      </c>
      <c r="AS201" s="111"/>
      <c r="AT201" s="111">
        <v>251355.66</v>
      </c>
      <c r="AU201" s="111">
        <f t="shared" si="82"/>
        <v>-2.1077675919514149E-3</v>
      </c>
      <c r="AV201" s="111"/>
      <c r="AW201" s="111"/>
      <c r="AX201" s="111"/>
      <c r="AY201" s="111">
        <v>675000</v>
      </c>
      <c r="AZ201" s="111">
        <v>652500</v>
      </c>
      <c r="BA201" s="111">
        <f t="shared" si="59"/>
        <v>22500</v>
      </c>
      <c r="BB201" s="111"/>
      <c r="BC201" s="111"/>
      <c r="BD201" s="111"/>
      <c r="BE201" s="111"/>
      <c r="BF201" s="111"/>
      <c r="BG201" s="111"/>
      <c r="BH201" s="111">
        <f t="shared" si="85"/>
        <v>22500</v>
      </c>
      <c r="BI201" s="111"/>
      <c r="BJ201" s="112">
        <f t="shared" si="64"/>
        <v>27299522.965424351</v>
      </c>
      <c r="BK201" s="112"/>
      <c r="BL201" s="112"/>
      <c r="BM201" s="113"/>
      <c r="BN201" s="113"/>
      <c r="BO201" s="113"/>
      <c r="BP201" s="113"/>
      <c r="BQ201" s="114">
        <f t="shared" si="73"/>
        <v>27299522.965424351</v>
      </c>
      <c r="BR201" s="114">
        <f t="shared" si="69"/>
        <v>31199454.817627832</v>
      </c>
      <c r="BS201" s="98"/>
      <c r="BT201" s="98"/>
      <c r="BU201" s="98"/>
      <c r="BV201" s="115">
        <f t="shared" si="70"/>
        <v>36399363.953899138</v>
      </c>
      <c r="BW201" s="115">
        <v>11000000</v>
      </c>
      <c r="BX201" s="116">
        <f t="shared" si="63"/>
        <v>11171362.572988108</v>
      </c>
      <c r="BY201" s="116">
        <f>AT201/K201/L201/N201*O201</f>
        <v>14895150.222222224</v>
      </c>
      <c r="BZ201" s="116"/>
      <c r="CA201" s="116"/>
      <c r="CB201" s="116"/>
      <c r="CC201" s="116">
        <v>30000000</v>
      </c>
      <c r="CD201" s="116">
        <v>30000000</v>
      </c>
      <c r="CE201" s="116"/>
      <c r="CF201" s="116"/>
      <c r="CG201" s="116"/>
      <c r="CH201" s="116"/>
      <c r="CI201" s="116"/>
      <c r="CJ201" s="116"/>
      <c r="CK201" s="116"/>
      <c r="CL201" s="116">
        <v>-900000</v>
      </c>
      <c r="CM201" s="117"/>
      <c r="CN201" s="118" t="s">
        <v>95</v>
      </c>
    </row>
    <row r="202" spans="1:92" s="2" customFormat="1" ht="21" customHeight="1" x14ac:dyDescent="0.2">
      <c r="B202" s="145">
        <f t="shared" ref="B202:B265" si="86">B201+1</f>
        <v>192</v>
      </c>
      <c r="C202" s="148" t="s">
        <v>392</v>
      </c>
      <c r="D202" s="164" t="s">
        <v>393</v>
      </c>
      <c r="E202" s="148" t="s">
        <v>95</v>
      </c>
      <c r="F202" s="148" t="s">
        <v>134</v>
      </c>
      <c r="G202" s="149"/>
      <c r="H202" s="149" t="s">
        <v>148</v>
      </c>
      <c r="I202" s="150">
        <v>0</v>
      </c>
      <c r="J202" s="151"/>
      <c r="K202" s="151">
        <v>7.2499999999999995E-2</v>
      </c>
      <c r="L202" s="152">
        <v>0.9</v>
      </c>
      <c r="M202" s="153">
        <v>3.5</v>
      </c>
      <c r="N202" s="153">
        <v>2.5</v>
      </c>
      <c r="O202" s="152">
        <v>12</v>
      </c>
      <c r="P202" s="153"/>
      <c r="Q202" s="153">
        <f t="shared" si="76"/>
        <v>0</v>
      </c>
      <c r="R202" s="153"/>
      <c r="S202" s="153"/>
      <c r="T202" s="154"/>
      <c r="U202" s="153"/>
      <c r="V202" s="152"/>
      <c r="W202" s="153">
        <f t="shared" si="74"/>
        <v>0</v>
      </c>
      <c r="X202" s="153"/>
      <c r="Y202" s="155">
        <f t="shared" si="75"/>
        <v>0</v>
      </c>
      <c r="Z202" s="155"/>
      <c r="AA202" s="155"/>
      <c r="AB202" s="155"/>
      <c r="AC202" s="155"/>
      <c r="AD202" s="156"/>
      <c r="AE202" s="156"/>
      <c r="AF202" s="156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>
        <f t="shared" si="62"/>
        <v>0</v>
      </c>
      <c r="AS202" s="83"/>
      <c r="AT202" s="83">
        <v>0</v>
      </c>
      <c r="AU202" s="83">
        <f t="shared" si="82"/>
        <v>0</v>
      </c>
      <c r="AV202" s="83"/>
      <c r="AW202" s="83"/>
      <c r="AX202" s="83"/>
      <c r="AY202" s="83"/>
      <c r="AZ202" s="83"/>
      <c r="BA202" s="314">
        <f>CL202*7.25%*0.9*3.5/12</f>
        <v>1484437.5</v>
      </c>
      <c r="BB202" s="83"/>
      <c r="BC202" s="83"/>
      <c r="BD202" s="83"/>
      <c r="BE202" s="83"/>
      <c r="BF202" s="83"/>
      <c r="BG202" s="83"/>
      <c r="BH202" s="83">
        <f t="shared" si="85"/>
        <v>1484437.5</v>
      </c>
      <c r="BI202" s="83">
        <f>CK202*K202*L202*N202/O202</f>
        <v>435000</v>
      </c>
      <c r="BJ202" s="159"/>
      <c r="BK202" s="159"/>
      <c r="BL202" s="159"/>
      <c r="BM202" s="89"/>
      <c r="BN202" s="89"/>
      <c r="BO202" s="89"/>
      <c r="BP202" s="89"/>
      <c r="BQ202" s="160"/>
      <c r="BR202" s="160"/>
      <c r="BS202" s="161"/>
      <c r="BT202" s="161"/>
      <c r="BU202" s="161"/>
      <c r="BV202" s="162"/>
      <c r="BW202" s="162"/>
      <c r="BX202" s="95">
        <f t="shared" si="63"/>
        <v>0</v>
      </c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>
        <v>32000000</v>
      </c>
      <c r="CL202" s="95">
        <v>78000000</v>
      </c>
      <c r="CM202" s="170" t="s">
        <v>396</v>
      </c>
      <c r="CN202" s="2" t="s">
        <v>109</v>
      </c>
    </row>
    <row r="203" spans="1:92" s="2" customFormat="1" ht="25.5" x14ac:dyDescent="0.2">
      <c r="B203" s="145">
        <f t="shared" si="86"/>
        <v>193</v>
      </c>
      <c r="C203" s="148" t="s">
        <v>392</v>
      </c>
      <c r="D203" s="164" t="s">
        <v>393</v>
      </c>
      <c r="E203" s="148" t="s">
        <v>161</v>
      </c>
      <c r="F203" s="148" t="s">
        <v>134</v>
      </c>
      <c r="G203" s="149"/>
      <c r="H203" s="149" t="s">
        <v>124</v>
      </c>
      <c r="I203" s="150">
        <v>0</v>
      </c>
      <c r="J203" s="151"/>
      <c r="K203" s="151">
        <v>7.2499999999999995E-2</v>
      </c>
      <c r="L203" s="152">
        <v>0.9</v>
      </c>
      <c r="M203" s="153">
        <v>3.5</v>
      </c>
      <c r="N203" s="153">
        <v>2</v>
      </c>
      <c r="O203" s="152">
        <v>12</v>
      </c>
      <c r="P203" s="153"/>
      <c r="Q203" s="153"/>
      <c r="R203" s="153"/>
      <c r="S203" s="153"/>
      <c r="T203" s="154"/>
      <c r="U203" s="153"/>
      <c r="V203" s="152"/>
      <c r="W203" s="153"/>
      <c r="X203" s="153"/>
      <c r="Y203" s="155"/>
      <c r="Z203" s="155"/>
      <c r="AA203" s="155"/>
      <c r="AB203" s="155"/>
      <c r="AC203" s="155"/>
      <c r="AD203" s="156"/>
      <c r="AE203" s="156"/>
      <c r="AF203" s="156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315"/>
      <c r="BB203" s="83"/>
      <c r="BC203" s="83"/>
      <c r="BD203" s="83"/>
      <c r="BE203" s="83"/>
      <c r="BF203" s="83"/>
      <c r="BG203" s="83"/>
      <c r="BH203" s="83"/>
      <c r="BI203" s="83">
        <f>CK203*K203*L203*N203/O203</f>
        <v>521999.99999999994</v>
      </c>
      <c r="BJ203" s="159"/>
      <c r="BK203" s="159"/>
      <c r="BL203" s="159"/>
      <c r="BM203" s="89"/>
      <c r="BN203" s="89"/>
      <c r="BO203" s="89"/>
      <c r="BP203" s="89"/>
      <c r="BQ203" s="160"/>
      <c r="BR203" s="160"/>
      <c r="BS203" s="161"/>
      <c r="BT203" s="161"/>
      <c r="BU203" s="161"/>
      <c r="BV203" s="162"/>
      <c r="BW203" s="162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>
        <v>48000000</v>
      </c>
      <c r="CL203" s="95"/>
      <c r="CM203" s="170"/>
    </row>
    <row r="204" spans="1:92" s="118" customFormat="1" ht="25.5" x14ac:dyDescent="0.2">
      <c r="A204" s="118">
        <f>A200+1</f>
        <v>98</v>
      </c>
      <c r="B204" s="99">
        <f t="shared" si="86"/>
        <v>194</v>
      </c>
      <c r="C204" s="100" t="s">
        <v>397</v>
      </c>
      <c r="D204" s="101" t="s">
        <v>398</v>
      </c>
      <c r="E204" s="100" t="s">
        <v>95</v>
      </c>
      <c r="F204" s="100" t="s">
        <v>96</v>
      </c>
      <c r="G204" s="103">
        <v>43525</v>
      </c>
      <c r="H204" s="218" t="s">
        <v>97</v>
      </c>
      <c r="I204" s="104">
        <v>12000000</v>
      </c>
      <c r="J204" s="105">
        <v>7.7499999999999999E-2</v>
      </c>
      <c r="K204" s="105">
        <v>7.4999999999999997E-2</v>
      </c>
      <c r="L204" s="106">
        <v>0.9</v>
      </c>
      <c r="M204" s="107">
        <v>9</v>
      </c>
      <c r="N204" s="107"/>
      <c r="O204" s="106">
        <v>12</v>
      </c>
      <c r="P204" s="107">
        <f t="shared" si="79"/>
        <v>627750</v>
      </c>
      <c r="Q204" s="107">
        <f t="shared" si="76"/>
        <v>7279872.7907798281</v>
      </c>
      <c r="R204" s="107">
        <f t="shared" si="80"/>
        <v>380828.34536766977</v>
      </c>
      <c r="S204" s="107">
        <f t="shared" si="77"/>
        <v>246921.65463233023</v>
      </c>
      <c r="T204" s="108">
        <v>0.606656065898319</v>
      </c>
      <c r="U204" s="107"/>
      <c r="V204" s="106"/>
      <c r="W204" s="107">
        <f t="shared" si="74"/>
        <v>7279872.7907798281</v>
      </c>
      <c r="X204" s="107">
        <f t="shared" si="74"/>
        <v>380828.34536766977</v>
      </c>
      <c r="Y204" s="109">
        <f t="shared" si="75"/>
        <v>7279872.7907798281</v>
      </c>
      <c r="Z204" s="109">
        <f t="shared" si="75"/>
        <v>380828.34536766977</v>
      </c>
      <c r="AA204" s="109">
        <v>380718.75</v>
      </c>
      <c r="AB204" s="109"/>
      <c r="AC204" s="109">
        <f t="shared" si="81"/>
        <v>109.59536766976817</v>
      </c>
      <c r="AD204" s="110">
        <v>1885.5117018455639</v>
      </c>
      <c r="AE204" s="110">
        <f t="shared" si="58"/>
        <v>2095.0130020505267</v>
      </c>
      <c r="AF204" s="110"/>
      <c r="AG204" s="111"/>
      <c r="AH204" s="111"/>
      <c r="AI204" s="111"/>
      <c r="AJ204" s="111"/>
      <c r="AK204" s="111"/>
      <c r="AL204" s="111">
        <f t="shared" si="72"/>
        <v>109.59536766976817</v>
      </c>
      <c r="AM204" s="111"/>
      <c r="AN204" s="111"/>
      <c r="AO204" s="111"/>
      <c r="AP204" s="111">
        <f t="shared" si="68"/>
        <v>109.59536766976817</v>
      </c>
      <c r="AQ204" s="111"/>
      <c r="AR204" s="111">
        <f t="shared" ref="AR204:AR266" si="87">AP204-AQ204</f>
        <v>109.59536766976817</v>
      </c>
      <c r="AS204" s="111"/>
      <c r="AT204" s="111">
        <v>0</v>
      </c>
      <c r="AU204" s="111">
        <f t="shared" si="82"/>
        <v>109.59536766976817</v>
      </c>
      <c r="AV204" s="111"/>
      <c r="AW204" s="111"/>
      <c r="AX204" s="111"/>
      <c r="AY204" s="111"/>
      <c r="AZ204" s="111"/>
      <c r="BA204" s="111">
        <f t="shared" ref="BA204:BA265" si="88">AY204-AZ204</f>
        <v>0</v>
      </c>
      <c r="BB204" s="111"/>
      <c r="BC204" s="111"/>
      <c r="BD204" s="111"/>
      <c r="BE204" s="111"/>
      <c r="BF204" s="111"/>
      <c r="BG204" s="111"/>
      <c r="BH204" s="111">
        <f t="shared" si="85"/>
        <v>0</v>
      </c>
      <c r="BI204" s="111"/>
      <c r="BJ204" s="112">
        <f t="shared" si="64"/>
        <v>2356.8896273068422</v>
      </c>
      <c r="BK204" s="112"/>
      <c r="BL204" s="112"/>
      <c r="BM204" s="113"/>
      <c r="BN204" s="113"/>
      <c r="BO204" s="113"/>
      <c r="BP204" s="113"/>
      <c r="BQ204" s="114">
        <f t="shared" si="73"/>
        <v>2356.8896273068422</v>
      </c>
      <c r="BR204" s="114">
        <f t="shared" si="69"/>
        <v>2693.5881454935338</v>
      </c>
      <c r="BS204" s="98"/>
      <c r="BT204" s="98"/>
      <c r="BU204" s="98"/>
      <c r="BV204" s="115">
        <f t="shared" si="70"/>
        <v>3142.5195030757895</v>
      </c>
      <c r="BW204" s="115"/>
      <c r="BX204" s="116">
        <f t="shared" ref="BX204:BX266" si="89">AR204/K204/L204/4*O204</f>
        <v>4870.9052297674734</v>
      </c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7"/>
    </row>
    <row r="205" spans="1:92" s="118" customFormat="1" x14ac:dyDescent="0.2">
      <c r="B205" s="99">
        <f t="shared" si="86"/>
        <v>195</v>
      </c>
      <c r="C205" s="100" t="s">
        <v>397</v>
      </c>
      <c r="D205" s="101" t="s">
        <v>398</v>
      </c>
      <c r="E205" s="118" t="s">
        <v>95</v>
      </c>
      <c r="F205" s="100" t="s">
        <v>96</v>
      </c>
      <c r="G205" s="103"/>
      <c r="H205" s="218" t="s">
        <v>97</v>
      </c>
      <c r="I205" s="104"/>
      <c r="J205" s="105"/>
      <c r="K205" s="105">
        <v>7.4999999999999997E-2</v>
      </c>
      <c r="L205" s="106">
        <v>0.9</v>
      </c>
      <c r="M205" s="107">
        <v>9</v>
      </c>
      <c r="N205" s="107">
        <v>4</v>
      </c>
      <c r="O205" s="106">
        <v>12</v>
      </c>
      <c r="P205" s="107"/>
      <c r="Q205" s="107"/>
      <c r="R205" s="107"/>
      <c r="S205" s="107"/>
      <c r="T205" s="108"/>
      <c r="U205" s="107"/>
      <c r="V205" s="106"/>
      <c r="W205" s="107"/>
      <c r="X205" s="107"/>
      <c r="Y205" s="109"/>
      <c r="Z205" s="109"/>
      <c r="AA205" s="109"/>
      <c r="AB205" s="109"/>
      <c r="AC205" s="109"/>
      <c r="AD205" s="110"/>
      <c r="AE205" s="110"/>
      <c r="AF205" s="110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>
        <f t="shared" si="87"/>
        <v>0</v>
      </c>
      <c r="AS205" s="111"/>
      <c r="AT205" s="111">
        <v>0</v>
      </c>
      <c r="AU205" s="111">
        <f t="shared" si="82"/>
        <v>0</v>
      </c>
      <c r="AV205" s="111"/>
      <c r="AW205" s="111"/>
      <c r="AX205" s="111"/>
      <c r="AY205" s="111"/>
      <c r="AZ205" s="111"/>
      <c r="BA205" s="300">
        <f>CL205*7.25%*0.9*3.5/12</f>
        <v>570937.5</v>
      </c>
      <c r="BB205" s="111"/>
      <c r="BC205" s="111"/>
      <c r="BD205" s="111">
        <v>570937.5</v>
      </c>
      <c r="BE205" s="111"/>
      <c r="BF205" s="111"/>
      <c r="BG205" s="111"/>
      <c r="BH205" s="111">
        <f t="shared" si="85"/>
        <v>0</v>
      </c>
      <c r="BI205" s="111">
        <v>0</v>
      </c>
      <c r="BJ205" s="112"/>
      <c r="BK205" s="112"/>
      <c r="BL205" s="112"/>
      <c r="BM205" s="113"/>
      <c r="BN205" s="113"/>
      <c r="BO205" s="113"/>
      <c r="BP205" s="113"/>
      <c r="BQ205" s="114"/>
      <c r="BR205" s="114"/>
      <c r="BS205" s="98"/>
      <c r="BT205" s="98"/>
      <c r="BU205" s="98"/>
      <c r="BV205" s="115"/>
      <c r="BW205" s="115"/>
      <c r="BX205" s="116">
        <f t="shared" si="89"/>
        <v>0</v>
      </c>
      <c r="BY205" s="116"/>
      <c r="BZ205" s="116"/>
      <c r="CA205" s="116"/>
      <c r="CB205" s="116"/>
      <c r="CC205" s="116"/>
      <c r="CD205" s="116"/>
      <c r="CE205" s="116"/>
      <c r="CF205" s="116"/>
      <c r="CG205" s="116">
        <v>30000000</v>
      </c>
      <c r="CH205" s="116"/>
      <c r="CI205" s="116"/>
      <c r="CJ205" s="116"/>
      <c r="CK205" s="116">
        <v>0</v>
      </c>
      <c r="CL205" s="116">
        <v>30000000</v>
      </c>
      <c r="CM205" s="195" t="s">
        <v>135</v>
      </c>
      <c r="CN205" s="177" t="s">
        <v>95</v>
      </c>
    </row>
    <row r="206" spans="1:92" s="118" customFormat="1" ht="25.5" x14ac:dyDescent="0.2">
      <c r="A206" s="118">
        <f>A204+1</f>
        <v>99</v>
      </c>
      <c r="B206" s="99">
        <f t="shared" si="86"/>
        <v>196</v>
      </c>
      <c r="C206" s="100" t="s">
        <v>399</v>
      </c>
      <c r="D206" s="101" t="s">
        <v>400</v>
      </c>
      <c r="E206" s="100" t="s">
        <v>95</v>
      </c>
      <c r="F206" s="100" t="s">
        <v>96</v>
      </c>
      <c r="G206" s="103">
        <v>43525</v>
      </c>
      <c r="H206" s="218" t="s">
        <v>401</v>
      </c>
      <c r="I206" s="104">
        <v>100000000</v>
      </c>
      <c r="J206" s="105">
        <v>7.7499999999999999E-2</v>
      </c>
      <c r="K206" s="105">
        <v>7.4999999999999997E-2</v>
      </c>
      <c r="L206" s="106">
        <v>0.9</v>
      </c>
      <c r="M206" s="107">
        <v>9</v>
      </c>
      <c r="N206" s="107">
        <v>4</v>
      </c>
      <c r="O206" s="106">
        <v>12</v>
      </c>
      <c r="P206" s="107">
        <f t="shared" si="79"/>
        <v>5231250</v>
      </c>
      <c r="Q206" s="107">
        <f t="shared" si="76"/>
        <v>60665606.589831896</v>
      </c>
      <c r="R206" s="107">
        <f t="shared" si="80"/>
        <v>3173569.5447305809</v>
      </c>
      <c r="S206" s="107">
        <f t="shared" si="77"/>
        <v>2057680.4552694191</v>
      </c>
      <c r="T206" s="108">
        <v>0.606656065898319</v>
      </c>
      <c r="U206" s="107"/>
      <c r="V206" s="106"/>
      <c r="W206" s="107">
        <f t="shared" si="74"/>
        <v>60665606.589831896</v>
      </c>
      <c r="X206" s="107">
        <f t="shared" si="74"/>
        <v>3173569.5447305809</v>
      </c>
      <c r="Y206" s="109">
        <f t="shared" si="75"/>
        <v>60665606.589831896</v>
      </c>
      <c r="Z206" s="109">
        <f t="shared" si="75"/>
        <v>3173569.5447305809</v>
      </c>
      <c r="AA206" s="109"/>
      <c r="AB206" s="109"/>
      <c r="AC206" s="109">
        <f t="shared" si="81"/>
        <v>3173569.5447305809</v>
      </c>
      <c r="AD206" s="110">
        <v>54599045.930848703</v>
      </c>
      <c r="AE206" s="110">
        <f t="shared" si="58"/>
        <v>60665606.589831904</v>
      </c>
      <c r="AF206" s="110"/>
      <c r="AG206" s="111"/>
      <c r="AH206" s="111"/>
      <c r="AI206" s="111"/>
      <c r="AJ206" s="111"/>
      <c r="AK206" s="111"/>
      <c r="AL206" s="111">
        <f t="shared" si="72"/>
        <v>3173569.5447305809</v>
      </c>
      <c r="AM206" s="111"/>
      <c r="AN206" s="111"/>
      <c r="AO206" s="111"/>
      <c r="AP206" s="111">
        <f t="shared" si="68"/>
        <v>3173569.5447305809</v>
      </c>
      <c r="AQ206" s="111"/>
      <c r="AR206" s="111">
        <f t="shared" si="87"/>
        <v>3173569.5447305809</v>
      </c>
      <c r="AS206" s="111"/>
      <c r="AT206" s="111">
        <v>0</v>
      </c>
      <c r="AU206" s="111">
        <f t="shared" si="82"/>
        <v>3173569.5447305809</v>
      </c>
      <c r="AV206" s="111"/>
      <c r="AW206" s="111"/>
      <c r="AX206" s="111"/>
      <c r="AY206" s="111">
        <v>0</v>
      </c>
      <c r="AZ206" s="111"/>
      <c r="BA206" s="85">
        <f t="shared" si="88"/>
        <v>0</v>
      </c>
      <c r="BB206" s="85"/>
      <c r="BC206" s="85"/>
      <c r="BD206" s="85"/>
      <c r="BE206" s="85"/>
      <c r="BF206" s="85"/>
      <c r="BG206" s="85"/>
      <c r="BH206" s="85">
        <f t="shared" si="85"/>
        <v>0</v>
      </c>
      <c r="BI206" s="111"/>
      <c r="BJ206" s="112">
        <f t="shared" si="64"/>
        <v>68248807.413560882</v>
      </c>
      <c r="BK206" s="112"/>
      <c r="BL206" s="112"/>
      <c r="BM206" s="113"/>
      <c r="BN206" s="113"/>
      <c r="BO206" s="113"/>
      <c r="BP206" s="113"/>
      <c r="BQ206" s="114">
        <f t="shared" si="73"/>
        <v>68248807.413560882</v>
      </c>
      <c r="BR206" s="114">
        <f t="shared" si="69"/>
        <v>77998637.044069588</v>
      </c>
      <c r="BS206" s="98"/>
      <c r="BT206" s="98"/>
      <c r="BU206" s="98"/>
      <c r="BV206" s="115">
        <f t="shared" si="70"/>
        <v>90998409.884747848</v>
      </c>
      <c r="BW206" s="115"/>
      <c r="BX206" s="116">
        <f t="shared" si="89"/>
        <v>141047535.32135916</v>
      </c>
      <c r="BY206" s="116">
        <v>0</v>
      </c>
      <c r="BZ206" s="116"/>
      <c r="CA206" s="116"/>
      <c r="CB206" s="116"/>
      <c r="CC206" s="116"/>
      <c r="CD206" s="116">
        <v>0</v>
      </c>
      <c r="CE206" s="116"/>
      <c r="CF206" s="116"/>
      <c r="CG206" s="116"/>
      <c r="CH206" s="116"/>
      <c r="CI206" s="116"/>
      <c r="CJ206" s="116"/>
      <c r="CK206" s="116">
        <v>0</v>
      </c>
      <c r="CL206" s="116">
        <v>100000000</v>
      </c>
      <c r="CM206" s="217" t="s">
        <v>402</v>
      </c>
      <c r="CN206" s="118" t="s">
        <v>95</v>
      </c>
    </row>
    <row r="207" spans="1:92" s="118" customFormat="1" ht="25.5" x14ac:dyDescent="0.2">
      <c r="A207" s="118">
        <f>A206+1</f>
        <v>100</v>
      </c>
      <c r="B207" s="99">
        <f t="shared" si="86"/>
        <v>197</v>
      </c>
      <c r="C207" s="100" t="s">
        <v>403</v>
      </c>
      <c r="D207" s="101" t="s">
        <v>404</v>
      </c>
      <c r="E207" s="100" t="s">
        <v>95</v>
      </c>
      <c r="F207" s="100" t="s">
        <v>96</v>
      </c>
      <c r="G207" s="103">
        <v>43525</v>
      </c>
      <c r="H207" s="103" t="s">
        <v>139</v>
      </c>
      <c r="I207" s="104">
        <v>8000000</v>
      </c>
      <c r="J207" s="105">
        <v>7.7499999999999999E-2</v>
      </c>
      <c r="K207" s="105">
        <v>7.4999999999999997E-2</v>
      </c>
      <c r="L207" s="106">
        <v>0.9</v>
      </c>
      <c r="M207" s="107">
        <v>9</v>
      </c>
      <c r="N207" s="107">
        <v>4</v>
      </c>
      <c r="O207" s="106">
        <v>12</v>
      </c>
      <c r="P207" s="107">
        <f t="shared" si="79"/>
        <v>418500</v>
      </c>
      <c r="Q207" s="107">
        <f t="shared" si="76"/>
        <v>4853248.5271865521</v>
      </c>
      <c r="R207" s="107">
        <f t="shared" si="80"/>
        <v>253885.56357844651</v>
      </c>
      <c r="S207" s="107">
        <f t="shared" si="77"/>
        <v>164614.43642155349</v>
      </c>
      <c r="T207" s="108">
        <v>0.606656065898319</v>
      </c>
      <c r="U207" s="107"/>
      <c r="V207" s="106"/>
      <c r="W207" s="107">
        <f t="shared" si="74"/>
        <v>4853248.5271865521</v>
      </c>
      <c r="X207" s="107">
        <f t="shared" si="74"/>
        <v>253885.56357844651</v>
      </c>
      <c r="Y207" s="109">
        <f t="shared" si="75"/>
        <v>4853248.5271865521</v>
      </c>
      <c r="Z207" s="109">
        <f t="shared" si="75"/>
        <v>253885.56357844651</v>
      </c>
      <c r="AA207" s="109"/>
      <c r="AB207" s="109"/>
      <c r="AC207" s="109">
        <f t="shared" si="81"/>
        <v>253885.56357844651</v>
      </c>
      <c r="AD207" s="110">
        <v>4367923.674467897</v>
      </c>
      <c r="AE207" s="110">
        <f t="shared" si="58"/>
        <v>4853248.5271865521</v>
      </c>
      <c r="AF207" s="110"/>
      <c r="AG207" s="111"/>
      <c r="AH207" s="111"/>
      <c r="AI207" s="111"/>
      <c r="AJ207" s="111"/>
      <c r="AK207" s="111"/>
      <c r="AL207" s="111">
        <f t="shared" si="72"/>
        <v>253885.56357844651</v>
      </c>
      <c r="AM207" s="111"/>
      <c r="AN207" s="111"/>
      <c r="AO207" s="111"/>
      <c r="AP207" s="111">
        <f t="shared" si="68"/>
        <v>253885.56357844651</v>
      </c>
      <c r="AQ207" s="111"/>
      <c r="AR207" s="111">
        <f t="shared" si="87"/>
        <v>253885.56357844651</v>
      </c>
      <c r="AS207" s="111"/>
      <c r="AT207" s="111">
        <v>0</v>
      </c>
      <c r="AU207" s="111">
        <f t="shared" si="82"/>
        <v>253885.56357844651</v>
      </c>
      <c r="AV207" s="111"/>
      <c r="AW207" s="111"/>
      <c r="AX207" s="111"/>
      <c r="AY207" s="111">
        <v>0</v>
      </c>
      <c r="AZ207" s="111"/>
      <c r="BA207" s="85">
        <f t="shared" si="88"/>
        <v>0</v>
      </c>
      <c r="BB207" s="85"/>
      <c r="BC207" s="85"/>
      <c r="BD207" s="85"/>
      <c r="BE207" s="85"/>
      <c r="BF207" s="85"/>
      <c r="BG207" s="85"/>
      <c r="BH207" s="85">
        <f t="shared" si="85"/>
        <v>0</v>
      </c>
      <c r="BI207" s="111"/>
      <c r="BJ207" s="112">
        <f t="shared" si="64"/>
        <v>5459904.5930848708</v>
      </c>
      <c r="BK207" s="112"/>
      <c r="BL207" s="112"/>
      <c r="BM207" s="113"/>
      <c r="BN207" s="113"/>
      <c r="BO207" s="113"/>
      <c r="BP207" s="113"/>
      <c r="BQ207" s="114">
        <f t="shared" si="73"/>
        <v>5459904.5930848708</v>
      </c>
      <c r="BR207" s="114">
        <f t="shared" si="69"/>
        <v>6239890.9635255672</v>
      </c>
      <c r="BS207" s="98"/>
      <c r="BT207" s="98"/>
      <c r="BU207" s="98"/>
      <c r="BV207" s="115">
        <f t="shared" si="70"/>
        <v>7279872.7907798281</v>
      </c>
      <c r="BW207" s="115"/>
      <c r="BX207" s="116">
        <f t="shared" si="89"/>
        <v>11283802.825708734</v>
      </c>
      <c r="BY207" s="116">
        <v>8000000</v>
      </c>
      <c r="BZ207" s="116"/>
      <c r="CA207" s="116"/>
      <c r="CB207" s="116"/>
      <c r="CC207" s="116"/>
      <c r="CD207" s="116">
        <v>0</v>
      </c>
      <c r="CE207" s="116"/>
      <c r="CF207" s="116"/>
      <c r="CG207" s="116"/>
      <c r="CH207" s="116"/>
      <c r="CI207" s="116"/>
      <c r="CJ207" s="116"/>
      <c r="CK207" s="116">
        <v>0</v>
      </c>
      <c r="CL207" s="116">
        <v>8000000</v>
      </c>
      <c r="CM207" s="217" t="s">
        <v>295</v>
      </c>
      <c r="CN207" s="118" t="s">
        <v>95</v>
      </c>
    </row>
    <row r="208" spans="1:92" s="2" customFormat="1" ht="32.25" customHeight="1" x14ac:dyDescent="0.2">
      <c r="B208" s="145">
        <f t="shared" si="86"/>
        <v>198</v>
      </c>
      <c r="C208" s="148" t="s">
        <v>405</v>
      </c>
      <c r="D208" s="164" t="s">
        <v>406</v>
      </c>
      <c r="E208" s="148" t="s">
        <v>106</v>
      </c>
      <c r="F208" s="148" t="s">
        <v>96</v>
      </c>
      <c r="G208" s="149"/>
      <c r="H208" s="149" t="s">
        <v>97</v>
      </c>
      <c r="I208" s="150">
        <v>0</v>
      </c>
      <c r="J208" s="151"/>
      <c r="K208" s="151">
        <v>7.2499999999999995E-2</v>
      </c>
      <c r="L208" s="152">
        <v>0.9</v>
      </c>
      <c r="M208" s="153">
        <v>9</v>
      </c>
      <c r="N208" s="153">
        <v>2.5</v>
      </c>
      <c r="O208" s="152">
        <v>12</v>
      </c>
      <c r="P208" s="153"/>
      <c r="Q208" s="153"/>
      <c r="R208" s="153"/>
      <c r="S208" s="153"/>
      <c r="T208" s="154"/>
      <c r="U208" s="153"/>
      <c r="V208" s="152"/>
      <c r="W208" s="153"/>
      <c r="X208" s="153"/>
      <c r="Y208" s="155"/>
      <c r="Z208" s="155"/>
      <c r="AA208" s="155"/>
      <c r="AB208" s="155"/>
      <c r="AC208" s="155"/>
      <c r="AD208" s="156"/>
      <c r="AE208" s="156"/>
      <c r="AF208" s="156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>
        <f t="shared" si="87"/>
        <v>0</v>
      </c>
      <c r="AS208" s="83"/>
      <c r="AT208" s="83">
        <v>0</v>
      </c>
      <c r="AU208" s="83">
        <f t="shared" si="82"/>
        <v>0</v>
      </c>
      <c r="AV208" s="83"/>
      <c r="AW208" s="83"/>
      <c r="AX208" s="83"/>
      <c r="AY208" s="83"/>
      <c r="AZ208" s="83"/>
      <c r="BA208" s="368">
        <f>CL208*7.25%*0.9*3.5/12</f>
        <v>19031.25</v>
      </c>
      <c r="BB208" s="83"/>
      <c r="BC208" s="83"/>
      <c r="BD208" s="83"/>
      <c r="BE208" s="83"/>
      <c r="BF208" s="83"/>
      <c r="BG208" s="83"/>
      <c r="BH208" s="83">
        <f t="shared" si="85"/>
        <v>19031.25</v>
      </c>
      <c r="BI208" s="83">
        <f>CK208*K208*L208*N208/O208</f>
        <v>13593.75</v>
      </c>
      <c r="BJ208" s="159"/>
      <c r="BK208" s="159"/>
      <c r="BL208" s="159"/>
      <c r="BM208" s="89"/>
      <c r="BN208" s="89"/>
      <c r="BO208" s="89"/>
      <c r="BP208" s="89"/>
      <c r="BQ208" s="160"/>
      <c r="BR208" s="160"/>
      <c r="BS208" s="161"/>
      <c r="BT208" s="161"/>
      <c r="BU208" s="161"/>
      <c r="BV208" s="162"/>
      <c r="BW208" s="162"/>
      <c r="BX208" s="95">
        <f t="shared" si="89"/>
        <v>0</v>
      </c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>
        <v>1000000</v>
      </c>
      <c r="CL208" s="95">
        <v>1000000</v>
      </c>
      <c r="CM208" s="170" t="s">
        <v>135</v>
      </c>
      <c r="CN208" s="2" t="s">
        <v>106</v>
      </c>
    </row>
    <row r="209" spans="1:93" s="118" customFormat="1" ht="25.5" x14ac:dyDescent="0.2">
      <c r="A209" s="118">
        <f>A207+1</f>
        <v>101</v>
      </c>
      <c r="B209" s="99">
        <f t="shared" si="86"/>
        <v>199</v>
      </c>
      <c r="C209" s="100" t="s">
        <v>407</v>
      </c>
      <c r="D209" s="101" t="s">
        <v>408</v>
      </c>
      <c r="E209" s="100" t="s">
        <v>95</v>
      </c>
      <c r="F209" s="100" t="s">
        <v>96</v>
      </c>
      <c r="G209" s="103">
        <v>43586</v>
      </c>
      <c r="H209" s="103">
        <v>43586</v>
      </c>
      <c r="I209" s="104">
        <v>5000000</v>
      </c>
      <c r="J209" s="105">
        <v>7.7499999999999999E-2</v>
      </c>
      <c r="K209" s="105">
        <v>7.4999999999999997E-2</v>
      </c>
      <c r="L209" s="106">
        <v>0.9</v>
      </c>
      <c r="M209" s="107">
        <v>7</v>
      </c>
      <c r="N209" s="107">
        <v>4</v>
      </c>
      <c r="O209" s="106">
        <v>12</v>
      </c>
      <c r="P209" s="107">
        <f t="shared" si="79"/>
        <v>203437.5</v>
      </c>
      <c r="Q209" s="107">
        <f t="shared" si="76"/>
        <v>3033280.3294915948</v>
      </c>
      <c r="R209" s="107">
        <f t="shared" si="80"/>
        <v>123416.59340618925</v>
      </c>
      <c r="S209" s="107">
        <f t="shared" si="77"/>
        <v>80020.906593810752</v>
      </c>
      <c r="T209" s="108">
        <v>0.606656065898319</v>
      </c>
      <c r="U209" s="107"/>
      <c r="V209" s="106"/>
      <c r="W209" s="107">
        <f t="shared" si="74"/>
        <v>3033280.3294915948</v>
      </c>
      <c r="X209" s="107">
        <f t="shared" si="74"/>
        <v>123416.59340618925</v>
      </c>
      <c r="Y209" s="109">
        <f t="shared" si="75"/>
        <v>3033280.3294915948</v>
      </c>
      <c r="Z209" s="109">
        <f t="shared" si="75"/>
        <v>123416.59340618925</v>
      </c>
      <c r="AA209" s="109"/>
      <c r="AB209" s="109"/>
      <c r="AC209" s="109">
        <f t="shared" si="81"/>
        <v>123416.59340618925</v>
      </c>
      <c r="AD209" s="110">
        <v>2123296.2306441162</v>
      </c>
      <c r="AE209" s="110">
        <f t="shared" si="58"/>
        <v>2359218.0340490183</v>
      </c>
      <c r="AF209" s="110"/>
      <c r="AG209" s="111"/>
      <c r="AH209" s="111"/>
      <c r="AI209" s="111"/>
      <c r="AJ209" s="111"/>
      <c r="AK209" s="111"/>
      <c r="AL209" s="111">
        <f t="shared" si="72"/>
        <v>123416.59340618925</v>
      </c>
      <c r="AM209" s="111"/>
      <c r="AN209" s="111"/>
      <c r="AO209" s="111"/>
      <c r="AP209" s="111">
        <f t="shared" si="68"/>
        <v>123416.59340618925</v>
      </c>
      <c r="AQ209" s="111"/>
      <c r="AR209" s="111">
        <f t="shared" si="87"/>
        <v>123416.59340618925</v>
      </c>
      <c r="AS209" s="111"/>
      <c r="AT209" s="111">
        <v>0</v>
      </c>
      <c r="AU209" s="111">
        <f t="shared" si="82"/>
        <v>123416.59340618925</v>
      </c>
      <c r="AV209" s="111"/>
      <c r="AW209" s="111"/>
      <c r="AX209" s="111"/>
      <c r="AY209" s="111">
        <v>0</v>
      </c>
      <c r="AZ209" s="111"/>
      <c r="BA209" s="111">
        <f t="shared" si="88"/>
        <v>0</v>
      </c>
      <c r="BB209" s="111"/>
      <c r="BC209" s="111"/>
      <c r="BD209" s="111"/>
      <c r="BE209" s="111"/>
      <c r="BF209" s="111"/>
      <c r="BG209" s="111"/>
      <c r="BH209" s="111">
        <f t="shared" si="85"/>
        <v>0</v>
      </c>
      <c r="BI209" s="111"/>
      <c r="BJ209" s="112">
        <f t="shared" si="64"/>
        <v>2654120.2883051452</v>
      </c>
      <c r="BK209" s="112"/>
      <c r="BL209" s="112"/>
      <c r="BM209" s="113"/>
      <c r="BN209" s="113"/>
      <c r="BO209" s="113"/>
      <c r="BP209" s="113"/>
      <c r="BQ209" s="114">
        <f t="shared" si="73"/>
        <v>2654120.2883051452</v>
      </c>
      <c r="BR209" s="114">
        <f t="shared" si="69"/>
        <v>3033280.3294915948</v>
      </c>
      <c r="BS209" s="98"/>
      <c r="BT209" s="98"/>
      <c r="BU209" s="98"/>
      <c r="BV209" s="115">
        <f t="shared" si="70"/>
        <v>3538827.051073527</v>
      </c>
      <c r="BW209" s="115"/>
      <c r="BX209" s="116">
        <f t="shared" si="89"/>
        <v>5485181.9291639673</v>
      </c>
      <c r="BY209" s="116">
        <v>3000000</v>
      </c>
      <c r="BZ209" s="116"/>
      <c r="CA209" s="116"/>
      <c r="CB209" s="116"/>
      <c r="CC209" s="116"/>
      <c r="CD209" s="116">
        <v>0</v>
      </c>
      <c r="CE209" s="116"/>
      <c r="CF209" s="116"/>
      <c r="CG209" s="116"/>
      <c r="CH209" s="116"/>
      <c r="CI209" s="116"/>
      <c r="CJ209" s="116"/>
      <c r="CK209" s="116">
        <v>0</v>
      </c>
      <c r="CL209" s="116">
        <v>5000000</v>
      </c>
      <c r="CM209" s="217" t="s">
        <v>409</v>
      </c>
      <c r="CN209" s="118" t="s">
        <v>95</v>
      </c>
    </row>
    <row r="210" spans="1:93" s="2" customFormat="1" ht="25.5" x14ac:dyDescent="0.2">
      <c r="A210" s="161">
        <f>A209+1</f>
        <v>102</v>
      </c>
      <c r="B210" s="145">
        <f t="shared" si="86"/>
        <v>200</v>
      </c>
      <c r="C210" s="148" t="s">
        <v>410</v>
      </c>
      <c r="D210" s="164" t="s">
        <v>411</v>
      </c>
      <c r="E210" s="148" t="s">
        <v>95</v>
      </c>
      <c r="F210" s="148" t="s">
        <v>96</v>
      </c>
      <c r="G210" s="149">
        <v>43770</v>
      </c>
      <c r="H210" s="149">
        <v>43770</v>
      </c>
      <c r="I210" s="150">
        <v>3000000</v>
      </c>
      <c r="J210" s="151">
        <v>7.7499999999999999E-2</v>
      </c>
      <c r="K210" s="151">
        <v>7.2499999999999995E-2</v>
      </c>
      <c r="L210" s="152">
        <v>0.9</v>
      </c>
      <c r="M210" s="153">
        <v>1</v>
      </c>
      <c r="N210" s="153">
        <v>1</v>
      </c>
      <c r="O210" s="152">
        <v>12</v>
      </c>
      <c r="P210" s="153">
        <f t="shared" si="79"/>
        <v>17437.5</v>
      </c>
      <c r="Q210" s="153">
        <f t="shared" si="76"/>
        <v>1819968.197694957</v>
      </c>
      <c r="R210" s="153">
        <f t="shared" si="80"/>
        <v>10578.565149101938</v>
      </c>
      <c r="S210" s="153">
        <f t="shared" si="77"/>
        <v>6858.934850898062</v>
      </c>
      <c r="T210" s="154">
        <v>0.606656065898319</v>
      </c>
      <c r="U210" s="153"/>
      <c r="V210" s="152"/>
      <c r="W210" s="153">
        <f t="shared" si="74"/>
        <v>1819968.197694957</v>
      </c>
      <c r="X210" s="153">
        <f t="shared" si="74"/>
        <v>10578.565149101938</v>
      </c>
      <c r="Y210" s="155">
        <f t="shared" si="75"/>
        <v>1819968.197694957</v>
      </c>
      <c r="Z210" s="155">
        <f t="shared" si="75"/>
        <v>10578.565149101938</v>
      </c>
      <c r="AA210" s="155"/>
      <c r="AB210" s="155"/>
      <c r="AC210" s="155">
        <f t="shared" si="81"/>
        <v>10578.565149101938</v>
      </c>
      <c r="AD210" s="156">
        <v>181996.81976949569</v>
      </c>
      <c r="AE210" s="156">
        <f t="shared" si="58"/>
        <v>202218.688632773</v>
      </c>
      <c r="AF210" s="156"/>
      <c r="AG210" s="83"/>
      <c r="AH210" s="83"/>
      <c r="AI210" s="83"/>
      <c r="AJ210" s="83"/>
      <c r="AK210" s="83"/>
      <c r="AL210" s="83">
        <f t="shared" si="72"/>
        <v>10578.565149101938</v>
      </c>
      <c r="AM210" s="83"/>
      <c r="AN210" s="83"/>
      <c r="AO210" s="83"/>
      <c r="AP210" s="83">
        <f t="shared" si="68"/>
        <v>10578.565149101938</v>
      </c>
      <c r="AQ210" s="83"/>
      <c r="AR210" s="83">
        <f t="shared" si="87"/>
        <v>10578.565149101938</v>
      </c>
      <c r="AS210" s="83"/>
      <c r="AT210" s="83">
        <f>BY210*K210*L210*N210/O210</f>
        <v>16312.499999999998</v>
      </c>
      <c r="AU210" s="83">
        <f t="shared" si="82"/>
        <v>-5733.9348508980602</v>
      </c>
      <c r="AV210" s="83"/>
      <c r="AW210" s="83"/>
      <c r="AX210" s="83"/>
      <c r="AY210" s="83">
        <v>16875</v>
      </c>
      <c r="AZ210" s="83"/>
      <c r="BA210" s="83">
        <f t="shared" si="88"/>
        <v>16875</v>
      </c>
      <c r="BB210" s="83"/>
      <c r="BC210" s="83"/>
      <c r="BD210" s="83"/>
      <c r="BE210" s="83"/>
      <c r="BF210" s="83"/>
      <c r="BG210" s="83"/>
      <c r="BH210" s="83">
        <f t="shared" si="85"/>
        <v>16875</v>
      </c>
      <c r="BI210" s="83">
        <f>CK210*K210*L210*N210/O210</f>
        <v>16312.499999999998</v>
      </c>
      <c r="BJ210" s="159">
        <f t="shared" si="64"/>
        <v>227496.02471186963</v>
      </c>
      <c r="BK210" s="159"/>
      <c r="BL210" s="159"/>
      <c r="BM210" s="89"/>
      <c r="BN210" s="89"/>
      <c r="BO210" s="89"/>
      <c r="BP210" s="89"/>
      <c r="BQ210" s="160">
        <f t="shared" si="73"/>
        <v>227496.02471186963</v>
      </c>
      <c r="BR210" s="160">
        <f t="shared" si="69"/>
        <v>259995.45681356528</v>
      </c>
      <c r="BS210" s="161"/>
      <c r="BT210" s="161"/>
      <c r="BU210" s="161"/>
      <c r="BV210" s="162">
        <f t="shared" si="70"/>
        <v>303328.0329491595</v>
      </c>
      <c r="BW210" s="162"/>
      <c r="BX210" s="95">
        <f t="shared" si="89"/>
        <v>486370.81145296269</v>
      </c>
      <c r="BY210" s="95">
        <v>3000000</v>
      </c>
      <c r="BZ210" s="95"/>
      <c r="CA210" s="95"/>
      <c r="CB210" s="95"/>
      <c r="CC210" s="95"/>
      <c r="CD210" s="95">
        <v>3000000</v>
      </c>
      <c r="CE210" s="95"/>
      <c r="CF210" s="95"/>
      <c r="CG210" s="95"/>
      <c r="CH210" s="95"/>
      <c r="CI210" s="95"/>
      <c r="CJ210" s="95"/>
      <c r="CK210" s="95">
        <v>3000000</v>
      </c>
      <c r="CL210" s="95">
        <v>3000000</v>
      </c>
      <c r="CM210" s="170" t="s">
        <v>349</v>
      </c>
      <c r="CN210" s="2" t="s">
        <v>95</v>
      </c>
    </row>
    <row r="211" spans="1:93" s="120" customFormat="1" ht="25.5" x14ac:dyDescent="0.2">
      <c r="A211" s="98">
        <f>A210+1</f>
        <v>103</v>
      </c>
      <c r="B211" s="99">
        <f t="shared" si="86"/>
        <v>201</v>
      </c>
      <c r="C211" s="122" t="s">
        <v>412</v>
      </c>
      <c r="D211" s="123" t="s">
        <v>413</v>
      </c>
      <c r="E211" s="122" t="s">
        <v>95</v>
      </c>
      <c r="F211" s="100" t="s">
        <v>96</v>
      </c>
      <c r="G211" s="124">
        <v>43586</v>
      </c>
      <c r="H211" s="124">
        <v>43586</v>
      </c>
      <c r="I211" s="125">
        <v>3000000</v>
      </c>
      <c r="J211" s="126">
        <v>7.7499999999999999E-2</v>
      </c>
      <c r="K211" s="105">
        <v>7.4999999999999997E-2</v>
      </c>
      <c r="L211" s="127">
        <v>0.9</v>
      </c>
      <c r="M211" s="128">
        <v>7</v>
      </c>
      <c r="N211" s="128"/>
      <c r="O211" s="127">
        <v>12</v>
      </c>
      <c r="P211" s="128">
        <f t="shared" si="79"/>
        <v>122062.5</v>
      </c>
      <c r="Q211" s="128">
        <f t="shared" si="76"/>
        <v>1819968.197694957</v>
      </c>
      <c r="R211" s="128">
        <f t="shared" si="80"/>
        <v>74049.956043713566</v>
      </c>
      <c r="S211" s="128">
        <f t="shared" si="77"/>
        <v>48012.543956286434</v>
      </c>
      <c r="T211" s="129">
        <v>0.606656065898319</v>
      </c>
      <c r="U211" s="172">
        <v>2500000</v>
      </c>
      <c r="V211" s="141">
        <v>145312.5</v>
      </c>
      <c r="W211" s="128">
        <f t="shared" si="74"/>
        <v>-680031.80230504298</v>
      </c>
      <c r="X211" s="128">
        <f t="shared" si="74"/>
        <v>-71262.543956286434</v>
      </c>
      <c r="Y211" s="130">
        <f t="shared" si="75"/>
        <v>-680031.80230504298</v>
      </c>
      <c r="Z211" s="130">
        <f t="shared" si="75"/>
        <v>-71262.543956286434</v>
      </c>
      <c r="AA211" s="130"/>
      <c r="AB211" s="130"/>
      <c r="AC211" s="130">
        <f t="shared" si="81"/>
        <v>-71262.543956286434</v>
      </c>
      <c r="AD211" s="131">
        <v>-1226022.2616135301</v>
      </c>
      <c r="AE211" s="131">
        <f t="shared" si="58"/>
        <v>-1362246.9573483667</v>
      </c>
      <c r="AF211" s="131"/>
      <c r="AG211" s="132"/>
      <c r="AH211" s="132"/>
      <c r="AI211" s="132"/>
      <c r="AJ211" s="132"/>
      <c r="AK211" s="132"/>
      <c r="AL211" s="111">
        <f t="shared" si="72"/>
        <v>-71262.543956286434</v>
      </c>
      <c r="AM211" s="111"/>
      <c r="AN211" s="111"/>
      <c r="AO211" s="111"/>
      <c r="AP211" s="111">
        <f t="shared" si="68"/>
        <v>-71262.543956286434</v>
      </c>
      <c r="AQ211" s="111"/>
      <c r="AR211" s="111">
        <f t="shared" si="87"/>
        <v>-71262.543956286434</v>
      </c>
      <c r="AS211" s="111"/>
      <c r="AT211" s="111">
        <v>0</v>
      </c>
      <c r="AU211" s="111"/>
      <c r="AV211" s="111"/>
      <c r="AW211" s="111"/>
      <c r="AX211" s="111"/>
      <c r="AY211" s="111"/>
      <c r="AZ211" s="111"/>
      <c r="BA211" s="111">
        <f t="shared" si="88"/>
        <v>0</v>
      </c>
      <c r="BB211" s="111">
        <v>43500</v>
      </c>
      <c r="BC211" s="111"/>
      <c r="BD211" s="111"/>
      <c r="BE211" s="111"/>
      <c r="BF211" s="111"/>
      <c r="BG211" s="111"/>
      <c r="BH211" s="111">
        <f t="shared" si="85"/>
        <v>-43500</v>
      </c>
      <c r="BI211" s="111"/>
      <c r="BJ211" s="133">
        <f t="shared" si="64"/>
        <v>-1532527.8270169126</v>
      </c>
      <c r="BK211" s="134"/>
      <c r="BL211" s="134"/>
      <c r="BM211" s="135"/>
      <c r="BN211" s="135"/>
      <c r="BO211" s="135"/>
      <c r="BP211" s="135"/>
      <c r="BQ211" s="114">
        <f t="shared" si="73"/>
        <v>-1532527.8270169126</v>
      </c>
      <c r="BR211" s="114">
        <f t="shared" si="69"/>
        <v>-1751460.3737336141</v>
      </c>
      <c r="BS211" s="136"/>
      <c r="BT211" s="136"/>
      <c r="BU211" s="136"/>
      <c r="BV211" s="115">
        <f t="shared" si="70"/>
        <v>-2043370.4360225501</v>
      </c>
      <c r="BW211" s="115"/>
      <c r="BX211" s="116">
        <f t="shared" si="89"/>
        <v>-3167224.1758349529</v>
      </c>
      <c r="BY211" s="116"/>
      <c r="BZ211" s="116"/>
      <c r="CA211" s="116"/>
      <c r="CB211" s="116"/>
      <c r="CC211" s="116"/>
      <c r="CD211" s="116"/>
      <c r="CE211" s="116">
        <v>2000000</v>
      </c>
      <c r="CF211" s="116"/>
      <c r="CG211" s="116"/>
      <c r="CH211" s="116"/>
      <c r="CI211" s="116"/>
      <c r="CJ211" s="116"/>
      <c r="CK211" s="116">
        <v>0</v>
      </c>
      <c r="CL211" s="116"/>
      <c r="CM211" s="119"/>
    </row>
    <row r="212" spans="1:93" s="118" customFormat="1" ht="25.5" x14ac:dyDescent="0.2">
      <c r="A212" s="98">
        <f>A211+1</f>
        <v>104</v>
      </c>
      <c r="B212" s="99">
        <f t="shared" si="86"/>
        <v>202</v>
      </c>
      <c r="C212" s="100" t="s">
        <v>414</v>
      </c>
      <c r="D212" s="101" t="s">
        <v>415</v>
      </c>
      <c r="E212" s="100" t="s">
        <v>95</v>
      </c>
      <c r="F212" s="100" t="s">
        <v>96</v>
      </c>
      <c r="G212" s="103">
        <v>43739</v>
      </c>
      <c r="H212" s="103">
        <v>43739</v>
      </c>
      <c r="I212" s="104">
        <v>10000000</v>
      </c>
      <c r="J212" s="105">
        <v>7.7499999999999999E-2</v>
      </c>
      <c r="K212" s="105">
        <v>7.4999999999999997E-2</v>
      </c>
      <c r="L212" s="106">
        <v>0.9</v>
      </c>
      <c r="M212" s="107">
        <v>2</v>
      </c>
      <c r="N212" s="107">
        <v>2</v>
      </c>
      <c r="O212" s="106">
        <v>12</v>
      </c>
      <c r="P212" s="107">
        <f t="shared" si="79"/>
        <v>116250</v>
      </c>
      <c r="Q212" s="107">
        <f t="shared" si="76"/>
        <v>6066560.6589831896</v>
      </c>
      <c r="R212" s="107">
        <f>Q212*J212*L212*M212/O212</f>
        <v>70523.767660679572</v>
      </c>
      <c r="S212" s="107">
        <f>P212-R212</f>
        <v>45726.232339320428</v>
      </c>
      <c r="T212" s="108">
        <v>0.606656065898319</v>
      </c>
      <c r="U212" s="107"/>
      <c r="V212" s="106"/>
      <c r="W212" s="107">
        <f t="shared" si="74"/>
        <v>6066560.6589831896</v>
      </c>
      <c r="X212" s="107">
        <f t="shared" si="74"/>
        <v>70523.767660679572</v>
      </c>
      <c r="Y212" s="109">
        <f t="shared" si="75"/>
        <v>6066560.6589831896</v>
      </c>
      <c r="Z212" s="109">
        <f t="shared" si="75"/>
        <v>70523.767660679572</v>
      </c>
      <c r="AA212" s="109"/>
      <c r="AB212" s="109"/>
      <c r="AC212" s="109">
        <f t="shared" si="81"/>
        <v>70523.767660679572</v>
      </c>
      <c r="AD212" s="110">
        <v>1213312.1317966378</v>
      </c>
      <c r="AE212" s="110">
        <f t="shared" si="58"/>
        <v>1348124.5908851533</v>
      </c>
      <c r="AF212" s="110"/>
      <c r="AG212" s="111"/>
      <c r="AH212" s="111"/>
      <c r="AI212" s="111"/>
      <c r="AJ212" s="111"/>
      <c r="AK212" s="111"/>
      <c r="AL212" s="111">
        <f t="shared" si="72"/>
        <v>70523.767660679572</v>
      </c>
      <c r="AM212" s="111"/>
      <c r="AN212" s="111"/>
      <c r="AO212" s="111"/>
      <c r="AP212" s="111">
        <f t="shared" si="68"/>
        <v>70523.767660679572</v>
      </c>
      <c r="AQ212" s="111"/>
      <c r="AR212" s="111">
        <f t="shared" si="87"/>
        <v>70523.767660679572</v>
      </c>
      <c r="AS212" s="111"/>
      <c r="AT212" s="111">
        <f>BY212*K212*L212*N212/O212</f>
        <v>112500</v>
      </c>
      <c r="AU212" s="111">
        <f t="shared" ref="AU212:AU222" si="90">AR212-AT212</f>
        <v>-41976.232339320428</v>
      </c>
      <c r="AV212" s="111"/>
      <c r="AW212" s="111"/>
      <c r="AX212" s="111">
        <v>112488.75</v>
      </c>
      <c r="AY212" s="111">
        <v>0</v>
      </c>
      <c r="AZ212" s="111"/>
      <c r="BA212" s="111">
        <f t="shared" si="88"/>
        <v>0</v>
      </c>
      <c r="BB212" s="111"/>
      <c r="BC212" s="111"/>
      <c r="BD212" s="111"/>
      <c r="BE212" s="111"/>
      <c r="BF212" s="111"/>
      <c r="BG212" s="111"/>
      <c r="BH212" s="111">
        <f t="shared" si="85"/>
        <v>0</v>
      </c>
      <c r="BI212" s="111"/>
      <c r="BJ212" s="112">
        <f t="shared" si="64"/>
        <v>1516640.1647457974</v>
      </c>
      <c r="BK212" s="112"/>
      <c r="BL212" s="112"/>
      <c r="BM212" s="113"/>
      <c r="BN212" s="113"/>
      <c r="BO212" s="113"/>
      <c r="BP212" s="113"/>
      <c r="BQ212" s="114">
        <f t="shared" si="73"/>
        <v>1516640.1647457974</v>
      </c>
      <c r="BR212" s="114">
        <f t="shared" si="69"/>
        <v>1733303.0454237685</v>
      </c>
      <c r="BS212" s="98"/>
      <c r="BT212" s="98"/>
      <c r="BU212" s="98"/>
      <c r="BV212" s="115">
        <f t="shared" si="70"/>
        <v>2022186.88632773</v>
      </c>
      <c r="BW212" s="115"/>
      <c r="BX212" s="116">
        <f t="shared" si="89"/>
        <v>3134389.673807981</v>
      </c>
      <c r="BY212" s="116">
        <v>10000000</v>
      </c>
      <c r="BZ212" s="116"/>
      <c r="CA212" s="116"/>
      <c r="CB212" s="116">
        <v>6666000</v>
      </c>
      <c r="CC212" s="116"/>
      <c r="CD212" s="116">
        <v>0</v>
      </c>
      <c r="CE212" s="116"/>
      <c r="CF212" s="116"/>
      <c r="CG212" s="116"/>
      <c r="CH212" s="116"/>
      <c r="CI212" s="116"/>
      <c r="CJ212" s="116"/>
      <c r="CK212" s="116">
        <v>0</v>
      </c>
      <c r="CL212" s="116">
        <v>10000000</v>
      </c>
      <c r="CM212" s="217" t="s">
        <v>349</v>
      </c>
      <c r="CN212" s="118" t="s">
        <v>95</v>
      </c>
    </row>
    <row r="213" spans="1:93" s="118" customFormat="1" ht="25.5" x14ac:dyDescent="0.2">
      <c r="A213" s="98">
        <f>A212+1</f>
        <v>105</v>
      </c>
      <c r="B213" s="99">
        <f t="shared" si="86"/>
        <v>203</v>
      </c>
      <c r="C213" s="100" t="s">
        <v>416</v>
      </c>
      <c r="D213" s="101" t="s">
        <v>417</v>
      </c>
      <c r="E213" s="100" t="s">
        <v>95</v>
      </c>
      <c r="F213" s="100" t="s">
        <v>134</v>
      </c>
      <c r="G213" s="103">
        <v>43497</v>
      </c>
      <c r="H213" s="103" t="s">
        <v>130</v>
      </c>
      <c r="I213" s="104">
        <v>5000000</v>
      </c>
      <c r="J213" s="105">
        <v>7.7499999999999999E-2</v>
      </c>
      <c r="K213" s="105">
        <v>7.4999999999999997E-2</v>
      </c>
      <c r="L213" s="106">
        <v>0.9</v>
      </c>
      <c r="M213" s="107">
        <v>10</v>
      </c>
      <c r="N213" s="107"/>
      <c r="O213" s="106">
        <v>12</v>
      </c>
      <c r="P213" s="107">
        <f t="shared" si="79"/>
        <v>290625</v>
      </c>
      <c r="Q213" s="107">
        <f t="shared" si="76"/>
        <v>3033280.3294915948</v>
      </c>
      <c r="R213" s="107">
        <f t="shared" si="80"/>
        <v>176309.41915169894</v>
      </c>
      <c r="S213" s="107">
        <f t="shared" si="77"/>
        <v>114315.58084830106</v>
      </c>
      <c r="T213" s="108">
        <v>0.606656065898319</v>
      </c>
      <c r="U213" s="107"/>
      <c r="V213" s="106"/>
      <c r="W213" s="107">
        <f t="shared" si="74"/>
        <v>3033280.3294915948</v>
      </c>
      <c r="X213" s="107">
        <f t="shared" si="74"/>
        <v>176309.41915169894</v>
      </c>
      <c r="Y213" s="109">
        <f t="shared" si="75"/>
        <v>3033280.3294915948</v>
      </c>
      <c r="Z213" s="109">
        <f t="shared" si="75"/>
        <v>176309.41915169894</v>
      </c>
      <c r="AA213" s="109"/>
      <c r="AB213" s="109"/>
      <c r="AC213" s="109">
        <f t="shared" si="81"/>
        <v>176309.41915169894</v>
      </c>
      <c r="AD213" s="110">
        <v>5763232.6260340307</v>
      </c>
      <c r="AE213" s="110">
        <f t="shared" si="58"/>
        <v>3370311.4772128826</v>
      </c>
      <c r="AF213" s="110"/>
      <c r="AG213" s="111"/>
      <c r="AH213" s="111"/>
      <c r="AI213" s="111">
        <v>176309.42</v>
      </c>
      <c r="AJ213" s="111"/>
      <c r="AK213" s="111"/>
      <c r="AL213" s="111">
        <f t="shared" si="72"/>
        <v>-8.4830107516609132E-4</v>
      </c>
      <c r="AM213" s="111"/>
      <c r="AN213" s="111"/>
      <c r="AO213" s="111"/>
      <c r="AP213" s="111">
        <f t="shared" si="68"/>
        <v>-8.4830107516609132E-4</v>
      </c>
      <c r="AQ213" s="111"/>
      <c r="AR213" s="111">
        <f t="shared" si="87"/>
        <v>-8.4830107516609132E-4</v>
      </c>
      <c r="AS213" s="111"/>
      <c r="AT213" s="111">
        <v>0</v>
      </c>
      <c r="AU213" s="111">
        <f t="shared" si="90"/>
        <v>-8.4830107516609132E-4</v>
      </c>
      <c r="AV213" s="111"/>
      <c r="AW213" s="111"/>
      <c r="AX213" s="111"/>
      <c r="AY213" s="111"/>
      <c r="AZ213" s="111"/>
      <c r="BA213" s="111">
        <f t="shared" si="88"/>
        <v>0</v>
      </c>
      <c r="BB213" s="111"/>
      <c r="BC213" s="111"/>
      <c r="BD213" s="111"/>
      <c r="BE213" s="111"/>
      <c r="BF213" s="111"/>
      <c r="BG213" s="111"/>
      <c r="BH213" s="111">
        <f t="shared" si="85"/>
        <v>0</v>
      </c>
      <c r="BI213" s="111"/>
      <c r="BJ213" s="112">
        <f t="shared" si="64"/>
        <v>3791600.411864493</v>
      </c>
      <c r="BK213" s="112"/>
      <c r="BL213" s="112"/>
      <c r="BM213" s="113"/>
      <c r="BN213" s="112">
        <f>AI213/J213/L213/7*12</f>
        <v>4333257.6344086025</v>
      </c>
      <c r="BO213" s="112"/>
      <c r="BP213" s="112"/>
      <c r="BQ213" s="114">
        <f t="shared" si="73"/>
        <v>-541657.22254410945</v>
      </c>
      <c r="BR213" s="114">
        <f t="shared" si="69"/>
        <v>-2.0849181570902396E-2</v>
      </c>
      <c r="BS213" s="98"/>
      <c r="BT213" s="98"/>
      <c r="BU213" s="98"/>
      <c r="BV213" s="115">
        <f t="shared" si="70"/>
        <v>-2.4324045166052796E-2</v>
      </c>
      <c r="BW213" s="115"/>
      <c r="BX213" s="116">
        <f t="shared" si="89"/>
        <v>-3.7702270007381841E-2</v>
      </c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>
        <v>0</v>
      </c>
      <c r="CL213" s="116"/>
      <c r="CM213" s="117"/>
    </row>
    <row r="214" spans="1:93" s="118" customFormat="1" ht="25.5" x14ac:dyDescent="0.2">
      <c r="B214" s="99">
        <f t="shared" si="86"/>
        <v>204</v>
      </c>
      <c r="C214" s="100" t="s">
        <v>416</v>
      </c>
      <c r="D214" s="101" t="s">
        <v>417</v>
      </c>
      <c r="E214" s="100" t="s">
        <v>161</v>
      </c>
      <c r="F214" s="100" t="s">
        <v>134</v>
      </c>
      <c r="G214" s="103">
        <v>43556</v>
      </c>
      <c r="H214" s="103" t="s">
        <v>97</v>
      </c>
      <c r="I214" s="104">
        <v>5000000</v>
      </c>
      <c r="J214" s="105">
        <v>7.7499999999999999E-2</v>
      </c>
      <c r="K214" s="105">
        <v>7.4999999999999997E-2</v>
      </c>
      <c r="L214" s="106">
        <v>0.9</v>
      </c>
      <c r="M214" s="107">
        <v>8</v>
      </c>
      <c r="N214" s="107">
        <v>4</v>
      </c>
      <c r="O214" s="106">
        <v>12</v>
      </c>
      <c r="P214" s="107">
        <f t="shared" si="79"/>
        <v>232500</v>
      </c>
      <c r="Q214" s="107">
        <f t="shared" si="76"/>
        <v>3033280.3294915948</v>
      </c>
      <c r="R214" s="107">
        <f t="shared" si="80"/>
        <v>141047.53532135914</v>
      </c>
      <c r="S214" s="107">
        <f t="shared" si="77"/>
        <v>91452.464678640856</v>
      </c>
      <c r="T214" s="108">
        <v>0.606656065898319</v>
      </c>
      <c r="U214" s="107"/>
      <c r="V214" s="106"/>
      <c r="W214" s="107">
        <f t="shared" si="74"/>
        <v>3033280.3294915948</v>
      </c>
      <c r="X214" s="107">
        <f t="shared" si="74"/>
        <v>141047.53532135914</v>
      </c>
      <c r="Y214" s="109">
        <f t="shared" si="75"/>
        <v>3033280.3294915948</v>
      </c>
      <c r="Z214" s="109">
        <f t="shared" si="75"/>
        <v>141047.53532135914</v>
      </c>
      <c r="AA214" s="109"/>
      <c r="AB214" s="109"/>
      <c r="AC214" s="109">
        <f t="shared" si="81"/>
        <v>141047.53532135914</v>
      </c>
      <c r="AD214" s="110">
        <v>0</v>
      </c>
      <c r="AE214" s="110">
        <f t="shared" si="58"/>
        <v>2696249.1817703065</v>
      </c>
      <c r="AF214" s="110"/>
      <c r="AG214" s="111"/>
      <c r="AH214" s="111"/>
      <c r="AI214" s="111">
        <f>203437.5-176309.42</f>
        <v>27128.079999999987</v>
      </c>
      <c r="AJ214" s="111"/>
      <c r="AK214" s="111"/>
      <c r="AL214" s="111">
        <f t="shared" si="72"/>
        <v>113919.45532135916</v>
      </c>
      <c r="AM214" s="111"/>
      <c r="AN214" s="111"/>
      <c r="AO214" s="111"/>
      <c r="AP214" s="111">
        <f t="shared" si="68"/>
        <v>113919.45532135916</v>
      </c>
      <c r="AQ214" s="111"/>
      <c r="AR214" s="111">
        <f t="shared" si="87"/>
        <v>113919.45532135916</v>
      </c>
      <c r="AS214" s="111"/>
      <c r="AT214" s="111">
        <f>BY214*K214*L214*N214/O214</f>
        <v>112500</v>
      </c>
      <c r="AU214" s="111">
        <f t="shared" si="90"/>
        <v>1419.4553213591571</v>
      </c>
      <c r="AV214" s="111"/>
      <c r="AW214" s="111"/>
      <c r="AX214" s="111"/>
      <c r="AY214" s="111">
        <v>112500</v>
      </c>
      <c r="AZ214" s="111"/>
      <c r="BA214" s="111">
        <f t="shared" si="88"/>
        <v>112500</v>
      </c>
      <c r="BB214" s="111"/>
      <c r="BC214" s="111"/>
      <c r="BD214" s="111"/>
      <c r="BE214" s="111">
        <v>83126.710000000006</v>
      </c>
      <c r="BF214" s="111"/>
      <c r="BG214" s="111"/>
      <c r="BH214" s="111">
        <f t="shared" si="85"/>
        <v>29373.289999999994</v>
      </c>
      <c r="BI214" s="111">
        <v>0</v>
      </c>
      <c r="BJ214" s="112">
        <f t="shared" si="64"/>
        <v>3033280.3294915948</v>
      </c>
      <c r="BK214" s="112"/>
      <c r="BL214" s="112"/>
      <c r="BM214" s="113"/>
      <c r="BN214" s="112">
        <f>AI214/J214/L214/7*12</f>
        <v>666742.36559139751</v>
      </c>
      <c r="BO214" s="112"/>
      <c r="BP214" s="112"/>
      <c r="BQ214" s="114">
        <f t="shared" si="73"/>
        <v>2366537.9639001973</v>
      </c>
      <c r="BR214" s="114">
        <f t="shared" si="69"/>
        <v>2799863.7252561385</v>
      </c>
      <c r="BS214" s="98"/>
      <c r="BT214" s="98"/>
      <c r="BU214" s="98"/>
      <c r="BV214" s="115">
        <f t="shared" si="70"/>
        <v>3266507.679465495</v>
      </c>
      <c r="BW214" s="115"/>
      <c r="BX214" s="116">
        <f t="shared" si="89"/>
        <v>5063086.9031715179</v>
      </c>
      <c r="BY214" s="116">
        <v>5000000</v>
      </c>
      <c r="BZ214" s="116"/>
      <c r="CA214" s="116"/>
      <c r="CB214" s="116"/>
      <c r="CC214" s="116"/>
      <c r="CD214" s="116">
        <v>5000000</v>
      </c>
      <c r="CE214" s="116"/>
      <c r="CF214" s="116"/>
      <c r="CG214" s="116"/>
      <c r="CH214" s="116">
        <v>5000000</v>
      </c>
      <c r="CI214" s="116"/>
      <c r="CJ214" s="116"/>
      <c r="CK214" s="116">
        <v>0</v>
      </c>
      <c r="CL214" s="116">
        <v>5000000</v>
      </c>
      <c r="CM214" s="119" t="s">
        <v>105</v>
      </c>
      <c r="CN214" s="121" t="s">
        <v>230</v>
      </c>
    </row>
    <row r="215" spans="1:93" s="118" customFormat="1" ht="25.5" x14ac:dyDescent="0.2">
      <c r="B215" s="99">
        <f t="shared" si="86"/>
        <v>205</v>
      </c>
      <c r="C215" s="100" t="s">
        <v>416</v>
      </c>
      <c r="D215" s="101" t="s">
        <v>417</v>
      </c>
      <c r="E215" s="100" t="s">
        <v>161</v>
      </c>
      <c r="F215" s="100" t="s">
        <v>134</v>
      </c>
      <c r="G215" s="103">
        <v>43770</v>
      </c>
      <c r="H215" s="103">
        <v>43770</v>
      </c>
      <c r="I215" s="104">
        <v>5000000</v>
      </c>
      <c r="J215" s="105">
        <v>7.7499999999999999E-2</v>
      </c>
      <c r="K215" s="105">
        <v>7.4999999999999997E-2</v>
      </c>
      <c r="L215" s="106">
        <v>0.9</v>
      </c>
      <c r="M215" s="107">
        <v>1</v>
      </c>
      <c r="N215" s="107">
        <v>1</v>
      </c>
      <c r="O215" s="106">
        <v>12</v>
      </c>
      <c r="P215" s="107">
        <f t="shared" si="79"/>
        <v>29062.5</v>
      </c>
      <c r="Q215" s="107">
        <f t="shared" si="76"/>
        <v>3033280.3294915948</v>
      </c>
      <c r="R215" s="107">
        <f t="shared" si="80"/>
        <v>17630.941915169893</v>
      </c>
      <c r="S215" s="107">
        <f t="shared" si="77"/>
        <v>11431.558084830107</v>
      </c>
      <c r="T215" s="108">
        <v>0.606656065898319</v>
      </c>
      <c r="U215" s="107"/>
      <c r="V215" s="106"/>
      <c r="W215" s="107">
        <f t="shared" si="74"/>
        <v>3033280.3294915948</v>
      </c>
      <c r="X215" s="107">
        <f t="shared" si="74"/>
        <v>17630.941915169893</v>
      </c>
      <c r="Y215" s="109">
        <f t="shared" si="75"/>
        <v>3033280.3294915948</v>
      </c>
      <c r="Z215" s="109">
        <f t="shared" si="75"/>
        <v>17630.941915169893</v>
      </c>
      <c r="AA215" s="109"/>
      <c r="AB215" s="109"/>
      <c r="AC215" s="109">
        <f t="shared" si="81"/>
        <v>17630.941915169893</v>
      </c>
      <c r="AD215" s="110">
        <v>0</v>
      </c>
      <c r="AE215" s="110">
        <f t="shared" si="58"/>
        <v>337031.14772128832</v>
      </c>
      <c r="AF215" s="110"/>
      <c r="AG215" s="111"/>
      <c r="AH215" s="111"/>
      <c r="AI215" s="111"/>
      <c r="AJ215" s="111"/>
      <c r="AK215" s="111"/>
      <c r="AL215" s="111">
        <f t="shared" si="72"/>
        <v>17630.941915169893</v>
      </c>
      <c r="AM215" s="111"/>
      <c r="AN215" s="111"/>
      <c r="AO215" s="111"/>
      <c r="AP215" s="111">
        <f t="shared" si="68"/>
        <v>17630.941915169893</v>
      </c>
      <c r="AQ215" s="111"/>
      <c r="AR215" s="111">
        <f t="shared" si="87"/>
        <v>17630.941915169893</v>
      </c>
      <c r="AS215" s="111"/>
      <c r="AT215" s="111">
        <f>BY215*K215*L215*N215/O215</f>
        <v>28125</v>
      </c>
      <c r="AU215" s="111">
        <f t="shared" si="90"/>
        <v>-10494.058084830107</v>
      </c>
      <c r="AV215" s="111"/>
      <c r="AW215" s="111"/>
      <c r="AX215" s="111"/>
      <c r="AY215" s="111">
        <v>28125</v>
      </c>
      <c r="AZ215" s="111"/>
      <c r="BA215" s="111">
        <f t="shared" si="88"/>
        <v>28125</v>
      </c>
      <c r="BB215" s="111"/>
      <c r="BC215" s="111"/>
      <c r="BD215" s="111"/>
      <c r="BE215" s="111">
        <v>64356.160000000003</v>
      </c>
      <c r="BF215" s="111"/>
      <c r="BG215" s="111"/>
      <c r="BH215" s="111">
        <f t="shared" si="85"/>
        <v>-36231.160000000003</v>
      </c>
      <c r="BI215" s="111">
        <v>0</v>
      </c>
      <c r="BJ215" s="112">
        <f t="shared" si="64"/>
        <v>379160.04118644935</v>
      </c>
      <c r="BK215" s="112"/>
      <c r="BL215" s="112"/>
      <c r="BM215" s="113"/>
      <c r="BN215" s="113"/>
      <c r="BO215" s="113"/>
      <c r="BP215" s="113"/>
      <c r="BQ215" s="114">
        <f t="shared" si="73"/>
        <v>379160.04118644935</v>
      </c>
      <c r="BR215" s="114">
        <f t="shared" si="69"/>
        <v>433325.76135594212</v>
      </c>
      <c r="BS215" s="98"/>
      <c r="BT215" s="98"/>
      <c r="BU215" s="98"/>
      <c r="BV215" s="115">
        <f t="shared" si="70"/>
        <v>505546.72158193251</v>
      </c>
      <c r="BW215" s="115"/>
      <c r="BX215" s="116">
        <f t="shared" si="89"/>
        <v>783597.41845199524</v>
      </c>
      <c r="BY215" s="116">
        <v>5000000</v>
      </c>
      <c r="BZ215" s="116"/>
      <c r="CA215" s="116"/>
      <c r="CB215" s="116"/>
      <c r="CC215" s="116"/>
      <c r="CD215" s="116">
        <v>5000000</v>
      </c>
      <c r="CE215" s="116"/>
      <c r="CF215" s="116"/>
      <c r="CG215" s="116"/>
      <c r="CH215" s="116">
        <v>5000000</v>
      </c>
      <c r="CI215" s="116"/>
      <c r="CJ215" s="116"/>
      <c r="CK215" s="116">
        <v>0</v>
      </c>
      <c r="CL215" s="116">
        <v>5000000</v>
      </c>
      <c r="CM215" s="119" t="s">
        <v>105</v>
      </c>
      <c r="CN215" s="121" t="s">
        <v>230</v>
      </c>
    </row>
    <row r="216" spans="1:93" s="118" customFormat="1" ht="38.25" x14ac:dyDescent="0.2">
      <c r="A216" s="118">
        <f>A213+1</f>
        <v>106</v>
      </c>
      <c r="B216" s="99">
        <f t="shared" si="86"/>
        <v>206</v>
      </c>
      <c r="C216" s="100" t="s">
        <v>418</v>
      </c>
      <c r="D216" s="101" t="s">
        <v>419</v>
      </c>
      <c r="E216" s="100" t="s">
        <v>95</v>
      </c>
      <c r="F216" s="100" t="s">
        <v>96</v>
      </c>
      <c r="G216" s="103">
        <v>43556</v>
      </c>
      <c r="H216" s="218" t="s">
        <v>420</v>
      </c>
      <c r="I216" s="104">
        <v>1200000</v>
      </c>
      <c r="J216" s="105">
        <v>7.7499999999999999E-2</v>
      </c>
      <c r="K216" s="105">
        <v>7.4999999999999997E-2</v>
      </c>
      <c r="L216" s="106">
        <v>0.9</v>
      </c>
      <c r="M216" s="107">
        <v>8</v>
      </c>
      <c r="N216" s="107">
        <v>4</v>
      </c>
      <c r="O216" s="106">
        <v>12</v>
      </c>
      <c r="P216" s="107">
        <f t="shared" si="79"/>
        <v>55800</v>
      </c>
      <c r="Q216" s="107">
        <f t="shared" si="76"/>
        <v>727987.27907798276</v>
      </c>
      <c r="R216" s="107">
        <f t="shared" si="80"/>
        <v>33851.408477126199</v>
      </c>
      <c r="S216" s="107">
        <f t="shared" si="77"/>
        <v>21948.591522873801</v>
      </c>
      <c r="T216" s="108">
        <v>0.606656065898319</v>
      </c>
      <c r="U216" s="107"/>
      <c r="V216" s="106"/>
      <c r="W216" s="107">
        <f t="shared" si="74"/>
        <v>727987.27907798276</v>
      </c>
      <c r="X216" s="107">
        <f t="shared" si="74"/>
        <v>33851.408477126199</v>
      </c>
      <c r="Y216" s="109">
        <f t="shared" si="75"/>
        <v>727987.27907798276</v>
      </c>
      <c r="Z216" s="109">
        <f t="shared" si="75"/>
        <v>33851.408477126199</v>
      </c>
      <c r="AA216" s="109"/>
      <c r="AB216" s="109"/>
      <c r="AC216" s="109">
        <f t="shared" si="81"/>
        <v>33851.408477126199</v>
      </c>
      <c r="AD216" s="110">
        <v>582389.82326238626</v>
      </c>
      <c r="AE216" s="110">
        <f t="shared" si="58"/>
        <v>647099.80362487363</v>
      </c>
      <c r="AF216" s="110"/>
      <c r="AG216" s="111"/>
      <c r="AH216" s="111"/>
      <c r="AI216" s="111">
        <v>20343.75</v>
      </c>
      <c r="AJ216" s="111"/>
      <c r="AK216" s="111"/>
      <c r="AL216" s="111">
        <f t="shared" si="72"/>
        <v>13507.658477126199</v>
      </c>
      <c r="AM216" s="111"/>
      <c r="AN216" s="111"/>
      <c r="AO216" s="111"/>
      <c r="AP216" s="111">
        <f t="shared" si="68"/>
        <v>13507.658477126199</v>
      </c>
      <c r="AQ216" s="111"/>
      <c r="AR216" s="111">
        <f t="shared" si="87"/>
        <v>13507.658477126199</v>
      </c>
      <c r="AS216" s="111">
        <v>-13507.66</v>
      </c>
      <c r="AT216" s="111">
        <v>0</v>
      </c>
      <c r="AU216" s="111">
        <f t="shared" si="90"/>
        <v>13507.658477126199</v>
      </c>
      <c r="AV216" s="111"/>
      <c r="AW216" s="111"/>
      <c r="AX216" s="111"/>
      <c r="AY216" s="111"/>
      <c r="AZ216" s="111"/>
      <c r="BA216" s="111">
        <f t="shared" si="88"/>
        <v>0</v>
      </c>
      <c r="BB216" s="111"/>
      <c r="BC216" s="111"/>
      <c r="BD216" s="111"/>
      <c r="BE216" s="111"/>
      <c r="BF216" s="111"/>
      <c r="BG216" s="111"/>
      <c r="BH216" s="111">
        <f t="shared" si="85"/>
        <v>0</v>
      </c>
      <c r="BI216" s="111"/>
      <c r="BJ216" s="112">
        <f t="shared" si="64"/>
        <v>727987.27907798276</v>
      </c>
      <c r="BK216" s="112"/>
      <c r="BL216" s="112"/>
      <c r="BM216" s="113"/>
      <c r="BN216" s="112">
        <v>500000</v>
      </c>
      <c r="BO216" s="112"/>
      <c r="BP216" s="112"/>
      <c r="BQ216" s="114">
        <f t="shared" si="73"/>
        <v>227987.27907798276</v>
      </c>
      <c r="BR216" s="114">
        <f t="shared" si="69"/>
        <v>331985.46180340886</v>
      </c>
      <c r="BS216" s="98"/>
      <c r="BT216" s="98"/>
      <c r="BU216" s="98"/>
      <c r="BV216" s="115">
        <f t="shared" si="70"/>
        <v>387316.37210397702</v>
      </c>
      <c r="BW216" s="115"/>
      <c r="BX216" s="116">
        <f t="shared" si="89"/>
        <v>600340.3767611644</v>
      </c>
      <c r="BY216" s="116">
        <v>0</v>
      </c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>
        <v>0</v>
      </c>
      <c r="CL216" s="116"/>
      <c r="CM216" s="117"/>
      <c r="CN216" s="118" t="s">
        <v>95</v>
      </c>
    </row>
    <row r="217" spans="1:93" s="118" customFormat="1" ht="38.25" x14ac:dyDescent="0.2">
      <c r="A217" s="118">
        <f>A216+1</f>
        <v>107</v>
      </c>
      <c r="B217" s="99">
        <f t="shared" si="86"/>
        <v>207</v>
      </c>
      <c r="C217" s="100" t="s">
        <v>421</v>
      </c>
      <c r="D217" s="101" t="s">
        <v>422</v>
      </c>
      <c r="E217" s="100" t="s">
        <v>95</v>
      </c>
      <c r="F217" s="100" t="s">
        <v>96</v>
      </c>
      <c r="G217" s="103">
        <v>43525</v>
      </c>
      <c r="H217" s="124" t="s">
        <v>171</v>
      </c>
      <c r="I217" s="104">
        <v>2000000</v>
      </c>
      <c r="J217" s="105">
        <v>7.7499999999999999E-2</v>
      </c>
      <c r="K217" s="105">
        <v>7.4999999999999997E-2</v>
      </c>
      <c r="L217" s="106">
        <v>0.9</v>
      </c>
      <c r="M217" s="107">
        <v>9</v>
      </c>
      <c r="N217" s="107"/>
      <c r="O217" s="106">
        <v>12</v>
      </c>
      <c r="P217" s="107">
        <f t="shared" si="79"/>
        <v>104625</v>
      </c>
      <c r="Q217" s="107">
        <f t="shared" si="76"/>
        <v>1213312.131796638</v>
      </c>
      <c r="R217" s="107">
        <f t="shared" si="80"/>
        <v>63471.390894611628</v>
      </c>
      <c r="S217" s="107">
        <f t="shared" si="77"/>
        <v>41153.609105388372</v>
      </c>
      <c r="T217" s="108">
        <v>0.606656065898319</v>
      </c>
      <c r="U217" s="107"/>
      <c r="V217" s="106"/>
      <c r="W217" s="107">
        <f t="shared" si="74"/>
        <v>1213312.131796638</v>
      </c>
      <c r="X217" s="107">
        <f t="shared" si="74"/>
        <v>63471.390894611628</v>
      </c>
      <c r="Y217" s="109">
        <f t="shared" si="75"/>
        <v>1213312.131796638</v>
      </c>
      <c r="Z217" s="109">
        <f t="shared" si="75"/>
        <v>63471.390894611628</v>
      </c>
      <c r="AA217" s="109"/>
      <c r="AB217" s="109"/>
      <c r="AC217" s="109">
        <f t="shared" si="81"/>
        <v>63471.390894611628</v>
      </c>
      <c r="AD217" s="110">
        <v>1091980.9186169743</v>
      </c>
      <c r="AE217" s="110">
        <f t="shared" si="58"/>
        <v>1213312.131796638</v>
      </c>
      <c r="AF217" s="110"/>
      <c r="AG217" s="111">
        <v>-63471.39</v>
      </c>
      <c r="AH217" s="111"/>
      <c r="AI217" s="111"/>
      <c r="AJ217" s="111"/>
      <c r="AK217" s="111"/>
      <c r="AL217" s="111">
        <f t="shared" si="72"/>
        <v>8.9461162860970944E-4</v>
      </c>
      <c r="AM217" s="111"/>
      <c r="AN217" s="111"/>
      <c r="AO217" s="111"/>
      <c r="AP217" s="111">
        <f t="shared" si="68"/>
        <v>8.9461162860970944E-4</v>
      </c>
      <c r="AQ217" s="111"/>
      <c r="AR217" s="111">
        <f t="shared" si="87"/>
        <v>8.9461162860970944E-4</v>
      </c>
      <c r="AS217" s="111"/>
      <c r="AT217" s="111">
        <v>0</v>
      </c>
      <c r="AU217" s="111">
        <f t="shared" si="90"/>
        <v>8.9461162860970944E-4</v>
      </c>
      <c r="AV217" s="111"/>
      <c r="AW217" s="111"/>
      <c r="AX217" s="111"/>
      <c r="AY217" s="111"/>
      <c r="AZ217" s="111"/>
      <c r="BA217" s="111">
        <f t="shared" si="88"/>
        <v>0</v>
      </c>
      <c r="BB217" s="111"/>
      <c r="BC217" s="111"/>
      <c r="BD217" s="111"/>
      <c r="BE217" s="111"/>
      <c r="BF217" s="111"/>
      <c r="BG217" s="111"/>
      <c r="BH217" s="111">
        <f t="shared" si="85"/>
        <v>0</v>
      </c>
      <c r="BI217" s="111"/>
      <c r="BJ217" s="112">
        <f t="shared" si="64"/>
        <v>1364976.1482712177</v>
      </c>
      <c r="BK217" s="112"/>
      <c r="BL217" s="134">
        <v>-1364976.15</v>
      </c>
      <c r="BM217" s="113"/>
      <c r="BN217" s="113"/>
      <c r="BO217" s="113"/>
      <c r="BP217" s="113"/>
      <c r="BQ217" s="114">
        <f t="shared" si="73"/>
        <v>-1.7287821974605322E-3</v>
      </c>
      <c r="BR217" s="114">
        <f t="shared" si="69"/>
        <v>2.1987382577197158E-2</v>
      </c>
      <c r="BS217" s="98"/>
      <c r="BT217" s="98"/>
      <c r="BU217" s="98"/>
      <c r="BV217" s="115">
        <f t="shared" si="70"/>
        <v>2.5651946340063347E-2</v>
      </c>
      <c r="BW217" s="115"/>
      <c r="BX217" s="116">
        <f t="shared" si="89"/>
        <v>3.9760516827098198E-2</v>
      </c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>
        <v>0</v>
      </c>
      <c r="CL217" s="116"/>
      <c r="CM217" s="117"/>
    </row>
    <row r="218" spans="1:93" s="2" customFormat="1" ht="25.5" x14ac:dyDescent="0.2">
      <c r="A218" s="2">
        <f>A217+1</f>
        <v>108</v>
      </c>
      <c r="B218" s="145">
        <f t="shared" si="86"/>
        <v>208</v>
      </c>
      <c r="C218" s="148" t="s">
        <v>423</v>
      </c>
      <c r="D218" s="164" t="s">
        <v>424</v>
      </c>
      <c r="E218" s="148" t="s">
        <v>95</v>
      </c>
      <c r="F218" s="148" t="s">
        <v>96</v>
      </c>
      <c r="G218" s="149">
        <v>43556</v>
      </c>
      <c r="H218" s="322" t="s">
        <v>148</v>
      </c>
      <c r="I218" s="150">
        <v>4000000</v>
      </c>
      <c r="J218" s="151">
        <v>7.7499999999999999E-2</v>
      </c>
      <c r="K218" s="151">
        <v>7.2499999999999995E-2</v>
      </c>
      <c r="L218" s="152">
        <v>0.9</v>
      </c>
      <c r="M218" s="153">
        <v>8</v>
      </c>
      <c r="N218" s="153">
        <v>2.5</v>
      </c>
      <c r="O218" s="152">
        <v>12</v>
      </c>
      <c r="P218" s="153">
        <f t="shared" si="79"/>
        <v>186000</v>
      </c>
      <c r="Q218" s="153">
        <f t="shared" si="76"/>
        <v>2426624.263593276</v>
      </c>
      <c r="R218" s="153">
        <f t="shared" si="80"/>
        <v>112838.02825708734</v>
      </c>
      <c r="S218" s="153">
        <f t="shared" si="77"/>
        <v>73161.971742912661</v>
      </c>
      <c r="T218" s="154">
        <v>0.606656065898319</v>
      </c>
      <c r="U218" s="153"/>
      <c r="V218" s="152"/>
      <c r="W218" s="153">
        <f t="shared" si="74"/>
        <v>2426624.263593276</v>
      </c>
      <c r="X218" s="153">
        <f t="shared" si="74"/>
        <v>112838.02825708734</v>
      </c>
      <c r="Y218" s="155">
        <f t="shared" si="75"/>
        <v>2426624.263593276</v>
      </c>
      <c r="Z218" s="155">
        <f t="shared" si="75"/>
        <v>112838.02825708734</v>
      </c>
      <c r="AA218" s="155"/>
      <c r="AB218" s="155"/>
      <c r="AC218" s="155">
        <f t="shared" si="81"/>
        <v>112838.02825708734</v>
      </c>
      <c r="AD218" s="156">
        <v>1941299.410874621</v>
      </c>
      <c r="AE218" s="156">
        <f t="shared" si="58"/>
        <v>2156999.3454162455</v>
      </c>
      <c r="AF218" s="156"/>
      <c r="AG218" s="83"/>
      <c r="AH218" s="83"/>
      <c r="AI218" s="83"/>
      <c r="AJ218" s="83"/>
      <c r="AK218" s="83"/>
      <c r="AL218" s="83">
        <f t="shared" si="72"/>
        <v>112838.02825708734</v>
      </c>
      <c r="AM218" s="83"/>
      <c r="AN218" s="83"/>
      <c r="AO218" s="83"/>
      <c r="AP218" s="83">
        <f t="shared" si="68"/>
        <v>112838.02825708734</v>
      </c>
      <c r="AQ218" s="83"/>
      <c r="AR218" s="83">
        <f t="shared" si="87"/>
        <v>112838.02825708734</v>
      </c>
      <c r="AS218" s="83"/>
      <c r="AT218" s="83">
        <v>90000</v>
      </c>
      <c r="AU218" s="83">
        <f t="shared" si="90"/>
        <v>22838.028257087339</v>
      </c>
      <c r="AV218" s="83"/>
      <c r="AW218" s="83"/>
      <c r="AX218" s="83"/>
      <c r="AY218" s="83">
        <v>90000</v>
      </c>
      <c r="AZ218" s="83"/>
      <c r="BA218" s="83">
        <f t="shared" si="88"/>
        <v>90000</v>
      </c>
      <c r="BB218" s="83"/>
      <c r="BC218" s="83"/>
      <c r="BD218" s="83"/>
      <c r="BE218" s="83"/>
      <c r="BF218" s="83"/>
      <c r="BG218" s="83"/>
      <c r="BH218" s="83">
        <f t="shared" si="85"/>
        <v>90000</v>
      </c>
      <c r="BI218" s="83">
        <f>CK218*K218*L218*N218/O218</f>
        <v>33984.375</v>
      </c>
      <c r="BJ218" s="159">
        <f t="shared" si="64"/>
        <v>2426624.263593276</v>
      </c>
      <c r="BK218" s="159"/>
      <c r="BL218" s="159"/>
      <c r="BM218" s="89"/>
      <c r="BN218" s="89"/>
      <c r="BO218" s="89"/>
      <c r="BP218" s="89"/>
      <c r="BQ218" s="160">
        <f t="shared" si="73"/>
        <v>2426624.263593276</v>
      </c>
      <c r="BR218" s="160">
        <f t="shared" si="69"/>
        <v>2773284.8726780298</v>
      </c>
      <c r="BS218" s="161"/>
      <c r="BT218" s="161"/>
      <c r="BU218" s="161"/>
      <c r="BV218" s="162">
        <f t="shared" si="70"/>
        <v>3235499.018124368</v>
      </c>
      <c r="BW218" s="162"/>
      <c r="BX218" s="95">
        <f t="shared" si="89"/>
        <v>5187955.322164936</v>
      </c>
      <c r="BY218" s="95">
        <v>4000000</v>
      </c>
      <c r="BZ218" s="95"/>
      <c r="CA218" s="95"/>
      <c r="CB218" s="95"/>
      <c r="CC218" s="95"/>
      <c r="CD218" s="95">
        <v>4000000</v>
      </c>
      <c r="CE218" s="95"/>
      <c r="CF218" s="95"/>
      <c r="CG218" s="95"/>
      <c r="CH218" s="95"/>
      <c r="CI218" s="95"/>
      <c r="CJ218" s="95"/>
      <c r="CK218" s="95">
        <v>2500000</v>
      </c>
      <c r="CL218" s="95">
        <v>4000000</v>
      </c>
      <c r="CM218" s="216" t="s">
        <v>105</v>
      </c>
      <c r="CN218" s="174" t="s">
        <v>106</v>
      </c>
    </row>
    <row r="219" spans="1:93" s="2" customFormat="1" ht="38.25" x14ac:dyDescent="0.2">
      <c r="A219" s="2">
        <f>A218+1</f>
        <v>109</v>
      </c>
      <c r="B219" s="145">
        <f t="shared" si="86"/>
        <v>209</v>
      </c>
      <c r="C219" s="148" t="s">
        <v>425</v>
      </c>
      <c r="D219" s="164" t="s">
        <v>426</v>
      </c>
      <c r="E219" s="148" t="s">
        <v>95</v>
      </c>
      <c r="F219" s="148" t="s">
        <v>96</v>
      </c>
      <c r="G219" s="149">
        <v>43556</v>
      </c>
      <c r="H219" s="322" t="s">
        <v>124</v>
      </c>
      <c r="I219" s="150">
        <v>2500000</v>
      </c>
      <c r="J219" s="151">
        <v>7.7499999999999999E-2</v>
      </c>
      <c r="K219" s="151">
        <v>7.2499999999999995E-2</v>
      </c>
      <c r="L219" s="152">
        <v>0.9</v>
      </c>
      <c r="M219" s="153">
        <v>8</v>
      </c>
      <c r="N219" s="153">
        <v>2</v>
      </c>
      <c r="O219" s="152">
        <v>12</v>
      </c>
      <c r="P219" s="153">
        <f t="shared" si="79"/>
        <v>116250</v>
      </c>
      <c r="Q219" s="153">
        <f t="shared" si="76"/>
        <v>1516640.1647457974</v>
      </c>
      <c r="R219" s="153">
        <f t="shared" si="80"/>
        <v>70523.767660679572</v>
      </c>
      <c r="S219" s="153">
        <f t="shared" si="77"/>
        <v>45726.232339320428</v>
      </c>
      <c r="T219" s="154">
        <v>0.606656065898319</v>
      </c>
      <c r="U219" s="153"/>
      <c r="V219" s="152"/>
      <c r="W219" s="153">
        <f t="shared" si="74"/>
        <v>1516640.1647457974</v>
      </c>
      <c r="X219" s="153">
        <f t="shared" si="74"/>
        <v>70523.767660679572</v>
      </c>
      <c r="Y219" s="155">
        <f t="shared" si="75"/>
        <v>1516640.1647457974</v>
      </c>
      <c r="Z219" s="155">
        <f t="shared" si="75"/>
        <v>70523.767660679572</v>
      </c>
      <c r="AA219" s="155"/>
      <c r="AB219" s="155"/>
      <c r="AC219" s="155">
        <f t="shared" si="81"/>
        <v>70523.767660679572</v>
      </c>
      <c r="AD219" s="156">
        <v>1971632.2141695363</v>
      </c>
      <c r="AE219" s="156">
        <f t="shared" si="58"/>
        <v>1348124.5908851533</v>
      </c>
      <c r="AF219" s="156"/>
      <c r="AG219" s="83"/>
      <c r="AH219" s="83"/>
      <c r="AI219" s="83"/>
      <c r="AJ219" s="83"/>
      <c r="AK219" s="83"/>
      <c r="AL219" s="83">
        <f t="shared" si="72"/>
        <v>70523.767660679572</v>
      </c>
      <c r="AM219" s="83"/>
      <c r="AN219" s="83"/>
      <c r="AO219" s="83"/>
      <c r="AP219" s="83">
        <f t="shared" si="68"/>
        <v>70523.767660679572</v>
      </c>
      <c r="AQ219" s="83"/>
      <c r="AR219" s="83">
        <f t="shared" si="87"/>
        <v>70523.767660679572</v>
      </c>
      <c r="AS219" s="83"/>
      <c r="AT219" s="83">
        <f>BY219*K219*L219*N219/O219</f>
        <v>27187.5</v>
      </c>
      <c r="AU219" s="83">
        <f t="shared" si="90"/>
        <v>43336.267660679572</v>
      </c>
      <c r="AV219" s="83"/>
      <c r="AW219" s="83"/>
      <c r="AX219" s="83"/>
      <c r="AY219" s="83">
        <v>42187.5</v>
      </c>
      <c r="AZ219" s="83"/>
      <c r="BA219" s="83">
        <f t="shared" si="88"/>
        <v>42187.5</v>
      </c>
      <c r="BB219" s="83"/>
      <c r="BC219" s="83"/>
      <c r="BD219" s="83"/>
      <c r="BE219" s="83"/>
      <c r="BF219" s="83"/>
      <c r="BG219" s="83"/>
      <c r="BH219" s="83">
        <f t="shared" si="85"/>
        <v>42187.5</v>
      </c>
      <c r="BI219" s="83">
        <f t="shared" ref="BI219:BI220" si="91">CK219*K219*L219*N219/O219</f>
        <v>27187.5</v>
      </c>
      <c r="BJ219" s="159">
        <f t="shared" si="64"/>
        <v>1516640.1647457974</v>
      </c>
      <c r="BK219" s="159"/>
      <c r="BL219" s="159"/>
      <c r="BM219" s="89"/>
      <c r="BN219" s="89"/>
      <c r="BO219" s="89"/>
      <c r="BP219" s="89"/>
      <c r="BQ219" s="160">
        <f t="shared" si="73"/>
        <v>1516640.1647457974</v>
      </c>
      <c r="BR219" s="160">
        <f t="shared" si="69"/>
        <v>1733303.0454237685</v>
      </c>
      <c r="BS219" s="161"/>
      <c r="BT219" s="161"/>
      <c r="BU219" s="161"/>
      <c r="BV219" s="162">
        <f t="shared" si="70"/>
        <v>2022186.88632773</v>
      </c>
      <c r="BW219" s="162"/>
      <c r="BX219" s="95">
        <f t="shared" si="89"/>
        <v>3242472.0763530843</v>
      </c>
      <c r="BY219" s="95">
        <v>2500000</v>
      </c>
      <c r="BZ219" s="95"/>
      <c r="CA219" s="95"/>
      <c r="CB219" s="95"/>
      <c r="CC219" s="95"/>
      <c r="CD219" s="95">
        <v>2500000</v>
      </c>
      <c r="CE219" s="95"/>
      <c r="CF219" s="95"/>
      <c r="CG219" s="95"/>
      <c r="CH219" s="95"/>
      <c r="CI219" s="95"/>
      <c r="CJ219" s="95"/>
      <c r="CK219" s="95">
        <v>2500000</v>
      </c>
      <c r="CL219" s="95">
        <v>2500000</v>
      </c>
      <c r="CM219" s="369" t="s">
        <v>427</v>
      </c>
      <c r="CN219" s="2" t="s">
        <v>95</v>
      </c>
      <c r="CO219" s="2" t="s">
        <v>105</v>
      </c>
    </row>
    <row r="220" spans="1:93" s="2" customFormat="1" ht="25.5" x14ac:dyDescent="0.2">
      <c r="B220" s="145">
        <f t="shared" si="86"/>
        <v>210</v>
      </c>
      <c r="C220" s="148" t="s">
        <v>425</v>
      </c>
      <c r="D220" s="164" t="s">
        <v>426</v>
      </c>
      <c r="E220" s="148" t="s">
        <v>95</v>
      </c>
      <c r="F220" s="148" t="s">
        <v>96</v>
      </c>
      <c r="G220" s="149">
        <v>43647</v>
      </c>
      <c r="H220" s="322" t="s">
        <v>139</v>
      </c>
      <c r="I220" s="150">
        <v>2500000</v>
      </c>
      <c r="J220" s="151">
        <v>7.7499999999999999E-2</v>
      </c>
      <c r="K220" s="151">
        <v>7.2499999999999995E-2</v>
      </c>
      <c r="L220" s="152">
        <v>0.9</v>
      </c>
      <c r="M220" s="153">
        <v>5</v>
      </c>
      <c r="N220" s="153">
        <v>1</v>
      </c>
      <c r="O220" s="152">
        <v>12</v>
      </c>
      <c r="P220" s="153">
        <f t="shared" si="79"/>
        <v>72656.25</v>
      </c>
      <c r="Q220" s="153">
        <f t="shared" si="76"/>
        <v>1516640.1647457974</v>
      </c>
      <c r="R220" s="153">
        <f t="shared" si="80"/>
        <v>44077.354787924734</v>
      </c>
      <c r="S220" s="153">
        <f t="shared" si="77"/>
        <v>28578.895212075266</v>
      </c>
      <c r="T220" s="154">
        <v>0.606656065898319</v>
      </c>
      <c r="U220" s="153"/>
      <c r="V220" s="152"/>
      <c r="W220" s="153">
        <f t="shared" si="74"/>
        <v>1516640.1647457974</v>
      </c>
      <c r="X220" s="153">
        <f t="shared" si="74"/>
        <v>44077.354787924734</v>
      </c>
      <c r="Y220" s="155">
        <f t="shared" si="75"/>
        <v>1516640.1647457974</v>
      </c>
      <c r="Z220" s="155">
        <f t="shared" si="75"/>
        <v>44077.354787924734</v>
      </c>
      <c r="AA220" s="155"/>
      <c r="AB220" s="155"/>
      <c r="AC220" s="155">
        <f t="shared" si="81"/>
        <v>44077.354787924734</v>
      </c>
      <c r="AD220" s="156">
        <v>0</v>
      </c>
      <c r="AE220" s="156">
        <f t="shared" si="58"/>
        <v>842577.86930322065</v>
      </c>
      <c r="AF220" s="156"/>
      <c r="AG220" s="83"/>
      <c r="AH220" s="83"/>
      <c r="AI220" s="83"/>
      <c r="AJ220" s="83"/>
      <c r="AK220" s="83"/>
      <c r="AL220" s="83">
        <f t="shared" si="72"/>
        <v>44077.354787924734</v>
      </c>
      <c r="AM220" s="83"/>
      <c r="AN220" s="83"/>
      <c r="AO220" s="83"/>
      <c r="AP220" s="83">
        <f t="shared" si="68"/>
        <v>44077.354787924734</v>
      </c>
      <c r="AQ220" s="83"/>
      <c r="AR220" s="83">
        <f t="shared" si="87"/>
        <v>44077.354787924734</v>
      </c>
      <c r="AS220" s="83"/>
      <c r="AT220" s="83">
        <f>BY220*K220*L220*N220/O220</f>
        <v>13593.75</v>
      </c>
      <c r="AU220" s="83">
        <f t="shared" si="90"/>
        <v>30483.604787924734</v>
      </c>
      <c r="AV220" s="83"/>
      <c r="AW220" s="83"/>
      <c r="AX220" s="83"/>
      <c r="AY220" s="83">
        <v>42187.5</v>
      </c>
      <c r="AZ220" s="83"/>
      <c r="BA220" s="83">
        <f t="shared" si="88"/>
        <v>42187.5</v>
      </c>
      <c r="BB220" s="83"/>
      <c r="BC220" s="83"/>
      <c r="BD220" s="83"/>
      <c r="BE220" s="83"/>
      <c r="BF220" s="83"/>
      <c r="BG220" s="83"/>
      <c r="BH220" s="83">
        <f t="shared" si="85"/>
        <v>42187.5</v>
      </c>
      <c r="BI220" s="83">
        <f t="shared" si="91"/>
        <v>13593.75</v>
      </c>
      <c r="BJ220" s="159">
        <f t="shared" si="64"/>
        <v>947900.10296612326</v>
      </c>
      <c r="BK220" s="159"/>
      <c r="BL220" s="159"/>
      <c r="BM220" s="89"/>
      <c r="BN220" s="89"/>
      <c r="BO220" s="89"/>
      <c r="BP220" s="89"/>
      <c r="BQ220" s="160">
        <f t="shared" si="73"/>
        <v>947900.10296612326</v>
      </c>
      <c r="BR220" s="160">
        <f t="shared" si="69"/>
        <v>1083314.4033898553</v>
      </c>
      <c r="BS220" s="161"/>
      <c r="BT220" s="161"/>
      <c r="BU220" s="161"/>
      <c r="BV220" s="162">
        <f t="shared" si="70"/>
        <v>1263866.8039548311</v>
      </c>
      <c r="BW220" s="162"/>
      <c r="BX220" s="95">
        <f t="shared" si="89"/>
        <v>2026545.0477206777</v>
      </c>
      <c r="BY220" s="95">
        <v>2500000</v>
      </c>
      <c r="BZ220" s="95"/>
      <c r="CA220" s="95"/>
      <c r="CB220" s="95"/>
      <c r="CC220" s="95"/>
      <c r="CD220" s="95">
        <v>2500000</v>
      </c>
      <c r="CE220" s="95"/>
      <c r="CF220" s="95"/>
      <c r="CG220" s="95"/>
      <c r="CH220" s="95"/>
      <c r="CI220" s="95"/>
      <c r="CJ220" s="95"/>
      <c r="CK220" s="95">
        <v>2500000</v>
      </c>
      <c r="CL220" s="95">
        <v>2500000</v>
      </c>
      <c r="CM220" s="369"/>
      <c r="CN220" s="2" t="s">
        <v>95</v>
      </c>
    </row>
    <row r="221" spans="1:93" s="118" customFormat="1" ht="25.5" x14ac:dyDescent="0.2">
      <c r="A221" s="118">
        <f>A219+1</f>
        <v>110</v>
      </c>
      <c r="B221" s="99">
        <f t="shared" si="86"/>
        <v>211</v>
      </c>
      <c r="C221" s="100" t="s">
        <v>428</v>
      </c>
      <c r="D221" s="101" t="s">
        <v>429</v>
      </c>
      <c r="E221" s="100" t="s">
        <v>95</v>
      </c>
      <c r="F221" s="100" t="s">
        <v>96</v>
      </c>
      <c r="G221" s="103">
        <v>43525</v>
      </c>
      <c r="H221" s="103" t="s">
        <v>158</v>
      </c>
      <c r="I221" s="104">
        <v>2000000</v>
      </c>
      <c r="J221" s="105">
        <v>7.7499999999999999E-2</v>
      </c>
      <c r="K221" s="105">
        <v>7.4999999999999997E-2</v>
      </c>
      <c r="L221" s="106">
        <v>0.9</v>
      </c>
      <c r="M221" s="107">
        <v>9</v>
      </c>
      <c r="N221" s="107"/>
      <c r="O221" s="106">
        <v>12</v>
      </c>
      <c r="P221" s="107">
        <f t="shared" si="79"/>
        <v>104625</v>
      </c>
      <c r="Q221" s="107">
        <f t="shared" si="76"/>
        <v>1213312.131796638</v>
      </c>
      <c r="R221" s="107">
        <f t="shared" si="80"/>
        <v>63471.390894611628</v>
      </c>
      <c r="S221" s="107">
        <f t="shared" si="77"/>
        <v>41153.609105388372</v>
      </c>
      <c r="T221" s="108">
        <v>0.606656065898319</v>
      </c>
      <c r="U221" s="107"/>
      <c r="V221" s="106"/>
      <c r="W221" s="107">
        <f t="shared" si="74"/>
        <v>1213312.131796638</v>
      </c>
      <c r="X221" s="107">
        <f t="shared" si="74"/>
        <v>63471.390894611628</v>
      </c>
      <c r="Y221" s="109">
        <f t="shared" si="75"/>
        <v>1213312.131796638</v>
      </c>
      <c r="Z221" s="109">
        <f t="shared" si="75"/>
        <v>63471.390894611628</v>
      </c>
      <c r="AA221" s="109"/>
      <c r="AB221" s="109"/>
      <c r="AC221" s="109">
        <f t="shared" si="81"/>
        <v>63471.390894611628</v>
      </c>
      <c r="AD221" s="110">
        <v>1091980.9186169743</v>
      </c>
      <c r="AE221" s="110">
        <f t="shared" si="58"/>
        <v>1213312.131796638</v>
      </c>
      <c r="AF221" s="110">
        <v>63467.85</v>
      </c>
      <c r="AG221" s="111"/>
      <c r="AH221" s="111"/>
      <c r="AI221" s="111"/>
      <c r="AJ221" s="111"/>
      <c r="AK221" s="111"/>
      <c r="AL221" s="111">
        <f t="shared" si="72"/>
        <v>3.5408946116294828</v>
      </c>
      <c r="AM221" s="111"/>
      <c r="AN221" s="111"/>
      <c r="AO221" s="111"/>
      <c r="AP221" s="111">
        <f t="shared" si="68"/>
        <v>3.5408946116294828</v>
      </c>
      <c r="AQ221" s="111"/>
      <c r="AR221" s="111">
        <f t="shared" si="87"/>
        <v>3.5408946116294828</v>
      </c>
      <c r="AS221" s="111"/>
      <c r="AT221" s="111">
        <v>0</v>
      </c>
      <c r="AU221" s="111">
        <f t="shared" si="90"/>
        <v>3.5408946116294828</v>
      </c>
      <c r="AV221" s="111"/>
      <c r="AW221" s="111"/>
      <c r="AX221" s="111"/>
      <c r="AY221" s="111"/>
      <c r="AZ221" s="111"/>
      <c r="BA221" s="85">
        <f t="shared" si="88"/>
        <v>0</v>
      </c>
      <c r="BB221" s="85"/>
      <c r="BC221" s="85"/>
      <c r="BD221" s="85"/>
      <c r="BE221" s="85"/>
      <c r="BF221" s="85"/>
      <c r="BG221" s="85"/>
      <c r="BH221" s="111">
        <f t="shared" si="85"/>
        <v>0</v>
      </c>
      <c r="BI221" s="111"/>
      <c r="BJ221" s="112">
        <f t="shared" si="64"/>
        <v>1364976.1482712177</v>
      </c>
      <c r="BK221" s="200">
        <v>1364900</v>
      </c>
      <c r="BL221" s="200"/>
      <c r="BM221" s="113"/>
      <c r="BN221" s="113"/>
      <c r="BO221" s="113"/>
      <c r="BP221" s="113"/>
      <c r="BQ221" s="114">
        <f t="shared" si="73"/>
        <v>76.148271217709407</v>
      </c>
      <c r="BR221" s="114">
        <f t="shared" si="69"/>
        <v>87.026595677529528</v>
      </c>
      <c r="BS221" s="98"/>
      <c r="BT221" s="98"/>
      <c r="BU221" s="98"/>
      <c r="BV221" s="193">
        <f t="shared" si="70"/>
        <v>101.53102829045113</v>
      </c>
      <c r="BW221" s="193"/>
      <c r="BX221" s="116">
        <f t="shared" si="89"/>
        <v>157.37309385019924</v>
      </c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>
        <v>0</v>
      </c>
      <c r="CL221" s="116"/>
      <c r="CM221" s="117"/>
    </row>
    <row r="222" spans="1:93" s="118" customFormat="1" ht="25.5" x14ac:dyDescent="0.2">
      <c r="A222" s="118">
        <f>A221+1</f>
        <v>111</v>
      </c>
      <c r="B222" s="99">
        <f t="shared" si="86"/>
        <v>212</v>
      </c>
      <c r="C222" s="100" t="s">
        <v>430</v>
      </c>
      <c r="D222" s="101" t="s">
        <v>431</v>
      </c>
      <c r="E222" s="100" t="s">
        <v>95</v>
      </c>
      <c r="F222" s="100" t="s">
        <v>96</v>
      </c>
      <c r="G222" s="103">
        <v>43525</v>
      </c>
      <c r="H222" s="218" t="s">
        <v>97</v>
      </c>
      <c r="I222" s="104">
        <v>6000000</v>
      </c>
      <c r="J222" s="105">
        <v>7.7499999999999999E-2</v>
      </c>
      <c r="K222" s="105">
        <v>7.4999999999999997E-2</v>
      </c>
      <c r="L222" s="106">
        <v>0.9</v>
      </c>
      <c r="M222" s="107">
        <v>9</v>
      </c>
      <c r="N222" s="107">
        <v>3</v>
      </c>
      <c r="O222" s="106">
        <v>12</v>
      </c>
      <c r="P222" s="107">
        <f t="shared" si="79"/>
        <v>313875</v>
      </c>
      <c r="Q222" s="107">
        <f t="shared" si="76"/>
        <v>3639936.395389914</v>
      </c>
      <c r="R222" s="107">
        <f t="shared" si="80"/>
        <v>190414.17268383488</v>
      </c>
      <c r="S222" s="107">
        <f t="shared" si="77"/>
        <v>123460.82731616512</v>
      </c>
      <c r="T222" s="108">
        <v>0.606656065898319</v>
      </c>
      <c r="U222" s="107"/>
      <c r="V222" s="106"/>
      <c r="W222" s="107">
        <f t="shared" si="74"/>
        <v>3639936.395389914</v>
      </c>
      <c r="X222" s="107">
        <f t="shared" si="74"/>
        <v>190414.17268383488</v>
      </c>
      <c r="Y222" s="109">
        <f t="shared" si="75"/>
        <v>3639936.395389914</v>
      </c>
      <c r="Z222" s="109">
        <f t="shared" si="75"/>
        <v>190414.17268383488</v>
      </c>
      <c r="AA222" s="109"/>
      <c r="AB222" s="109">
        <v>189356.92</v>
      </c>
      <c r="AC222" s="109">
        <f t="shared" si="81"/>
        <v>1057.2526838348713</v>
      </c>
      <c r="AD222" s="110">
        <v>-2324057.2441490772</v>
      </c>
      <c r="AE222" s="110">
        <f t="shared" si="58"/>
        <v>20210.326094812357</v>
      </c>
      <c r="AF222" s="110"/>
      <c r="AG222" s="111"/>
      <c r="AH222" s="111"/>
      <c r="AI222" s="111"/>
      <c r="AJ222" s="111"/>
      <c r="AK222" s="111"/>
      <c r="AL222" s="111">
        <f t="shared" si="72"/>
        <v>1057.2526838348713</v>
      </c>
      <c r="AM222" s="111"/>
      <c r="AN222" s="111"/>
      <c r="AO222" s="111"/>
      <c r="AP222" s="111">
        <f t="shared" si="68"/>
        <v>1057.2526838348713</v>
      </c>
      <c r="AQ222" s="111"/>
      <c r="AR222" s="111">
        <f t="shared" si="87"/>
        <v>1057.2526838348713</v>
      </c>
      <c r="AS222" s="111"/>
      <c r="AT222" s="111">
        <v>0</v>
      </c>
      <c r="AU222" s="111">
        <f t="shared" si="90"/>
        <v>1057.2526838348713</v>
      </c>
      <c r="AV222" s="111"/>
      <c r="AW222" s="111"/>
      <c r="AX222" s="111"/>
      <c r="AY222" s="111">
        <v>0</v>
      </c>
      <c r="AZ222" s="111"/>
      <c r="BA222" s="85">
        <f t="shared" si="88"/>
        <v>0</v>
      </c>
      <c r="BB222" s="85"/>
      <c r="BC222" s="85"/>
      <c r="BD222" s="85"/>
      <c r="BE222" s="85"/>
      <c r="BF222" s="85"/>
      <c r="BG222" s="85"/>
      <c r="BH222" s="111">
        <f t="shared" si="85"/>
        <v>0</v>
      </c>
      <c r="BI222" s="111"/>
      <c r="BJ222" s="112">
        <f t="shared" si="64"/>
        <v>22736.616856663899</v>
      </c>
      <c r="BK222" s="112"/>
      <c r="BL222" s="112"/>
      <c r="BM222" s="113"/>
      <c r="BN222" s="113"/>
      <c r="BO222" s="113"/>
      <c r="BP222" s="113"/>
      <c r="BQ222" s="114">
        <f t="shared" si="73"/>
        <v>22736.616856663899</v>
      </c>
      <c r="BR222" s="114">
        <f t="shared" si="69"/>
        <v>25984.704979044454</v>
      </c>
      <c r="BS222" s="98"/>
      <c r="BT222" s="98"/>
      <c r="BU222" s="98"/>
      <c r="BV222" s="115">
        <f t="shared" si="70"/>
        <v>30315.489142218532</v>
      </c>
      <c r="BW222" s="115"/>
      <c r="BX222" s="116">
        <f t="shared" si="89"/>
        <v>46989.008170438727</v>
      </c>
      <c r="BY222" s="116">
        <v>0</v>
      </c>
      <c r="BZ222" s="116"/>
      <c r="CA222" s="116"/>
      <c r="CB222" s="116"/>
      <c r="CC222" s="116"/>
      <c r="CD222" s="116">
        <v>0</v>
      </c>
      <c r="CE222" s="116"/>
      <c r="CF222" s="116"/>
      <c r="CG222" s="116"/>
      <c r="CH222" s="116"/>
      <c r="CI222" s="116"/>
      <c r="CJ222" s="116"/>
      <c r="CK222" s="116">
        <v>0</v>
      </c>
      <c r="CL222" s="116"/>
      <c r="CM222" s="117"/>
      <c r="CN222" s="118" t="s">
        <v>95</v>
      </c>
    </row>
    <row r="223" spans="1:93" s="120" customFormat="1" ht="25.5" x14ac:dyDescent="0.2">
      <c r="A223" s="118">
        <f>A222+1</f>
        <v>112</v>
      </c>
      <c r="B223" s="99">
        <f t="shared" si="86"/>
        <v>213</v>
      </c>
      <c r="C223" s="122" t="s">
        <v>432</v>
      </c>
      <c r="D223" s="123" t="s">
        <v>433</v>
      </c>
      <c r="E223" s="122" t="s">
        <v>161</v>
      </c>
      <c r="F223" s="100" t="s">
        <v>134</v>
      </c>
      <c r="G223" s="124">
        <v>43497</v>
      </c>
      <c r="H223" s="124">
        <v>43497</v>
      </c>
      <c r="I223" s="125">
        <v>7500000</v>
      </c>
      <c r="J223" s="126">
        <v>7.7499999999999999E-2</v>
      </c>
      <c r="K223" s="105">
        <v>7.4999999999999997E-2</v>
      </c>
      <c r="L223" s="127">
        <v>0.9</v>
      </c>
      <c r="M223" s="128">
        <v>10</v>
      </c>
      <c r="N223" s="128"/>
      <c r="O223" s="127">
        <v>12</v>
      </c>
      <c r="P223" s="128">
        <f t="shared" si="79"/>
        <v>435937.5</v>
      </c>
      <c r="Q223" s="128">
        <f t="shared" si="76"/>
        <v>4549920.4942373922</v>
      </c>
      <c r="R223" s="128">
        <f t="shared" si="80"/>
        <v>264464.12872754846</v>
      </c>
      <c r="S223" s="128">
        <f t="shared" si="77"/>
        <v>171473.37127245154</v>
      </c>
      <c r="T223" s="129">
        <v>0.606656065898319</v>
      </c>
      <c r="U223" s="172">
        <v>10000000</v>
      </c>
      <c r="V223" s="141">
        <f>581250-V224</f>
        <v>369678.7</v>
      </c>
      <c r="W223" s="128">
        <f t="shared" si="74"/>
        <v>-5450079.5057626078</v>
      </c>
      <c r="X223" s="128">
        <f t="shared" si="74"/>
        <v>-105214.57127245155</v>
      </c>
      <c r="Y223" s="130">
        <f t="shared" si="75"/>
        <v>-5450079.5057626078</v>
      </c>
      <c r="Z223" s="130">
        <f t="shared" si="75"/>
        <v>-105214.57127245155</v>
      </c>
      <c r="AA223" s="130"/>
      <c r="AB223" s="130"/>
      <c r="AC223" s="130">
        <f t="shared" si="81"/>
        <v>-105214.57127245155</v>
      </c>
      <c r="AD223" s="131">
        <v>-1810143.1103726935</v>
      </c>
      <c r="AE223" s="131">
        <f t="shared" si="58"/>
        <v>-2011270.1796406507</v>
      </c>
      <c r="AF223" s="131"/>
      <c r="AG223" s="132"/>
      <c r="AH223" s="132"/>
      <c r="AI223" s="132"/>
      <c r="AJ223" s="132"/>
      <c r="AK223" s="132"/>
      <c r="AL223" s="111">
        <f t="shared" si="72"/>
        <v>-105214.57127245155</v>
      </c>
      <c r="AM223" s="111"/>
      <c r="AN223" s="111"/>
      <c r="AO223" s="111"/>
      <c r="AP223" s="111">
        <f t="shared" si="68"/>
        <v>-105214.57127245155</v>
      </c>
      <c r="AQ223" s="111"/>
      <c r="AR223" s="111">
        <f t="shared" si="87"/>
        <v>-105214.57127245155</v>
      </c>
      <c r="AS223" s="111"/>
      <c r="AT223" s="111">
        <v>0</v>
      </c>
      <c r="AU223" s="111"/>
      <c r="AV223" s="111"/>
      <c r="AW223" s="111"/>
      <c r="AX223" s="111"/>
      <c r="AY223" s="111"/>
      <c r="AZ223" s="111"/>
      <c r="BA223" s="85">
        <f t="shared" si="88"/>
        <v>0</v>
      </c>
      <c r="BB223" s="85"/>
      <c r="BC223" s="85"/>
      <c r="BD223" s="85"/>
      <c r="BE223" s="85"/>
      <c r="BF223" s="85"/>
      <c r="BG223" s="85"/>
      <c r="BH223" s="111">
        <f t="shared" si="85"/>
        <v>0</v>
      </c>
      <c r="BI223" s="111"/>
      <c r="BJ223" s="133">
        <f t="shared" si="64"/>
        <v>-2262678.9520957321</v>
      </c>
      <c r="BK223" s="134"/>
      <c r="BL223" s="134"/>
      <c r="BM223" s="135"/>
      <c r="BN223" s="135"/>
      <c r="BO223" s="135"/>
      <c r="BP223" s="135"/>
      <c r="BQ223" s="114">
        <f t="shared" si="73"/>
        <v>-2262678.9520957321</v>
      </c>
      <c r="BR223" s="114">
        <f t="shared" si="69"/>
        <v>-2585918.8023951221</v>
      </c>
      <c r="BS223" s="136"/>
      <c r="BT223" s="136"/>
      <c r="BU223" s="136"/>
      <c r="BV223" s="115">
        <f t="shared" si="70"/>
        <v>-3016905.2694609761</v>
      </c>
      <c r="BW223" s="115"/>
      <c r="BX223" s="116">
        <f t="shared" si="89"/>
        <v>-4676203.1676645139</v>
      </c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>
        <v>0</v>
      </c>
      <c r="CL223" s="116"/>
      <c r="CM223" s="119"/>
    </row>
    <row r="224" spans="1:93" s="120" customFormat="1" ht="25.5" x14ac:dyDescent="0.2">
      <c r="B224" s="99">
        <f t="shared" si="86"/>
        <v>214</v>
      </c>
      <c r="C224" s="122" t="s">
        <v>432</v>
      </c>
      <c r="D224" s="123" t="s">
        <v>433</v>
      </c>
      <c r="E224" s="122" t="s">
        <v>95</v>
      </c>
      <c r="F224" s="100" t="s">
        <v>134</v>
      </c>
      <c r="G224" s="124">
        <v>43556</v>
      </c>
      <c r="H224" s="124">
        <v>43556</v>
      </c>
      <c r="I224" s="125">
        <v>7500000</v>
      </c>
      <c r="J224" s="126">
        <v>7.7499999999999999E-2</v>
      </c>
      <c r="K224" s="105">
        <v>7.4999999999999997E-2</v>
      </c>
      <c r="L224" s="127">
        <v>0.9</v>
      </c>
      <c r="M224" s="128">
        <v>8</v>
      </c>
      <c r="N224" s="128"/>
      <c r="O224" s="127">
        <v>12</v>
      </c>
      <c r="P224" s="128">
        <f t="shared" si="79"/>
        <v>348750</v>
      </c>
      <c r="Q224" s="128">
        <f t="shared" si="76"/>
        <v>4549920.4942373922</v>
      </c>
      <c r="R224" s="128">
        <f t="shared" si="80"/>
        <v>211571.30298203873</v>
      </c>
      <c r="S224" s="128">
        <f t="shared" si="77"/>
        <v>137178.69701796127</v>
      </c>
      <c r="T224" s="129">
        <v>0.606656065898319</v>
      </c>
      <c r="U224" s="128"/>
      <c r="V224" s="127">
        <v>211571.3</v>
      </c>
      <c r="W224" s="128">
        <f t="shared" si="74"/>
        <v>4549920.4942373922</v>
      </c>
      <c r="X224" s="128">
        <f t="shared" si="74"/>
        <v>2.9820387426298112E-3</v>
      </c>
      <c r="Y224" s="130">
        <f t="shared" si="75"/>
        <v>4549920.4942373922</v>
      </c>
      <c r="Z224" s="130">
        <f t="shared" si="75"/>
        <v>2.9820387426298112E-3</v>
      </c>
      <c r="AA224" s="130"/>
      <c r="AB224" s="130"/>
      <c r="AC224" s="130">
        <f t="shared" si="81"/>
        <v>2.9820387426298112E-3</v>
      </c>
      <c r="AD224" s="131">
        <v>0</v>
      </c>
      <c r="AE224" s="131">
        <f t="shared" ref="AE224:AE306" si="92">AC224/J224/L224/9*O224</f>
        <v>5.700432482924371E-2</v>
      </c>
      <c r="AF224" s="131"/>
      <c r="AG224" s="132"/>
      <c r="AH224" s="132"/>
      <c r="AI224" s="132"/>
      <c r="AJ224" s="132"/>
      <c r="AK224" s="132"/>
      <c r="AL224" s="111">
        <f t="shared" si="72"/>
        <v>2.9820387426298112E-3</v>
      </c>
      <c r="AM224" s="111"/>
      <c r="AN224" s="111"/>
      <c r="AO224" s="111"/>
      <c r="AP224" s="111">
        <f t="shared" si="68"/>
        <v>2.9820387426298112E-3</v>
      </c>
      <c r="AQ224" s="111"/>
      <c r="AR224" s="111">
        <f t="shared" si="87"/>
        <v>2.9820387426298112E-3</v>
      </c>
      <c r="AS224" s="111"/>
      <c r="AT224" s="111">
        <v>0</v>
      </c>
      <c r="AU224" s="111">
        <f t="shared" ref="AU224:AU232" si="93">AR224-AT224</f>
        <v>2.9820387426298112E-3</v>
      </c>
      <c r="AV224" s="111"/>
      <c r="AW224" s="111"/>
      <c r="AX224" s="111"/>
      <c r="AY224" s="111"/>
      <c r="AZ224" s="111"/>
      <c r="BA224" s="85">
        <f t="shared" si="88"/>
        <v>0</v>
      </c>
      <c r="BB224" s="85"/>
      <c r="BC224" s="85"/>
      <c r="BD224" s="85"/>
      <c r="BE224" s="85"/>
      <c r="BF224" s="85"/>
      <c r="BG224" s="85"/>
      <c r="BH224" s="111">
        <f t="shared" si="85"/>
        <v>0</v>
      </c>
      <c r="BI224" s="111"/>
      <c r="BJ224" s="112">
        <f t="shared" si="64"/>
        <v>6.4129865432899169E-2</v>
      </c>
      <c r="BK224" s="134"/>
      <c r="BL224" s="134"/>
      <c r="BM224" s="135"/>
      <c r="BN224" s="135"/>
      <c r="BO224" s="135"/>
      <c r="BP224" s="135"/>
      <c r="BQ224" s="114">
        <f t="shared" si="73"/>
        <v>6.4129865432899169E-2</v>
      </c>
      <c r="BR224" s="114">
        <f t="shared" si="69"/>
        <v>7.3291274780456189E-2</v>
      </c>
      <c r="BS224" s="136"/>
      <c r="BT224" s="136"/>
      <c r="BU224" s="136"/>
      <c r="BV224" s="115">
        <f t="shared" si="70"/>
        <v>8.5506487243865559E-2</v>
      </c>
      <c r="BW224" s="115"/>
      <c r="BX224" s="116">
        <f t="shared" si="89"/>
        <v>0.13253505522799161</v>
      </c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>
        <v>0</v>
      </c>
      <c r="CL224" s="116"/>
      <c r="CM224" s="119"/>
    </row>
    <row r="225" spans="1:92" s="120" customFormat="1" ht="25.5" x14ac:dyDescent="0.2">
      <c r="B225" s="99">
        <f t="shared" si="86"/>
        <v>215</v>
      </c>
      <c r="C225" s="122" t="s">
        <v>432</v>
      </c>
      <c r="D225" s="123" t="s">
        <v>433</v>
      </c>
      <c r="E225" s="122" t="s">
        <v>95</v>
      </c>
      <c r="F225" s="100" t="s">
        <v>134</v>
      </c>
      <c r="G225" s="124"/>
      <c r="H225" s="124" t="s">
        <v>294</v>
      </c>
      <c r="I225" s="125"/>
      <c r="J225" s="126"/>
      <c r="K225" s="105">
        <v>7.4999999999999997E-2</v>
      </c>
      <c r="L225" s="106">
        <v>0.9</v>
      </c>
      <c r="M225" s="107">
        <v>9</v>
      </c>
      <c r="N225" s="107">
        <v>4</v>
      </c>
      <c r="O225" s="106">
        <v>12</v>
      </c>
      <c r="P225" s="128"/>
      <c r="Q225" s="128"/>
      <c r="R225" s="128"/>
      <c r="S225" s="128"/>
      <c r="T225" s="129"/>
      <c r="U225" s="128"/>
      <c r="V225" s="127"/>
      <c r="W225" s="128"/>
      <c r="X225" s="128"/>
      <c r="Y225" s="130"/>
      <c r="Z225" s="130"/>
      <c r="AA225" s="130"/>
      <c r="AB225" s="130"/>
      <c r="AC225" s="130"/>
      <c r="AD225" s="131"/>
      <c r="AE225" s="131"/>
      <c r="AF225" s="131"/>
      <c r="AG225" s="132"/>
      <c r="AH225" s="132"/>
      <c r="AI225" s="132"/>
      <c r="AJ225" s="132"/>
      <c r="AK225" s="132"/>
      <c r="AL225" s="111"/>
      <c r="AM225" s="111"/>
      <c r="AN225" s="316"/>
      <c r="AO225" s="316"/>
      <c r="AP225" s="111"/>
      <c r="AQ225" s="111"/>
      <c r="AR225" s="111">
        <f t="shared" si="87"/>
        <v>0</v>
      </c>
      <c r="AS225" s="111"/>
      <c r="AT225" s="111">
        <v>0</v>
      </c>
      <c r="AU225" s="111">
        <f t="shared" si="93"/>
        <v>0</v>
      </c>
      <c r="AV225" s="111"/>
      <c r="AW225" s="111"/>
      <c r="AX225" s="111"/>
      <c r="AY225" s="111"/>
      <c r="AZ225" s="111"/>
      <c r="BA225" s="317">
        <f>CL225*7.25%*0.9*3.5/12</f>
        <v>190312.5</v>
      </c>
      <c r="BB225" s="111"/>
      <c r="BC225" s="111"/>
      <c r="BD225" s="111">
        <f>121935.44</f>
        <v>121935.44</v>
      </c>
      <c r="BE225" s="111"/>
      <c r="BF225" s="111"/>
      <c r="BG225" s="111"/>
      <c r="BH225" s="111">
        <f t="shared" si="85"/>
        <v>68377.06</v>
      </c>
      <c r="BI225" s="111"/>
      <c r="BJ225" s="112"/>
      <c r="BK225" s="134"/>
      <c r="BL225" s="134"/>
      <c r="BM225" s="135"/>
      <c r="BN225" s="135"/>
      <c r="BO225" s="135"/>
      <c r="BP225" s="135"/>
      <c r="BQ225" s="114"/>
      <c r="BR225" s="114"/>
      <c r="BS225" s="136"/>
      <c r="BT225" s="136"/>
      <c r="BU225" s="136"/>
      <c r="BV225" s="115"/>
      <c r="BW225" s="115"/>
      <c r="BX225" s="116">
        <f t="shared" si="89"/>
        <v>0</v>
      </c>
      <c r="BY225" s="116"/>
      <c r="BZ225" s="116"/>
      <c r="CA225" s="116"/>
      <c r="CB225" s="116"/>
      <c r="CC225" s="116"/>
      <c r="CD225" s="116"/>
      <c r="CE225" s="116"/>
      <c r="CF225" s="116"/>
      <c r="CG225" s="116">
        <f>6100000</f>
        <v>6100000</v>
      </c>
      <c r="CH225" s="116"/>
      <c r="CI225" s="116"/>
      <c r="CJ225" s="116"/>
      <c r="CK225" s="116">
        <v>0</v>
      </c>
      <c r="CL225" s="116">
        <v>10000000</v>
      </c>
      <c r="CM225" s="119" t="s">
        <v>105</v>
      </c>
      <c r="CN225" s="120" t="s">
        <v>272</v>
      </c>
    </row>
    <row r="226" spans="1:92" s="120" customFormat="1" ht="25.5" x14ac:dyDescent="0.2">
      <c r="B226" s="99">
        <f t="shared" si="86"/>
        <v>216</v>
      </c>
      <c r="C226" s="122" t="s">
        <v>432</v>
      </c>
      <c r="D226" s="123"/>
      <c r="E226" s="122" t="s">
        <v>95</v>
      </c>
      <c r="F226" s="100"/>
      <c r="G226" s="124"/>
      <c r="H226" s="124" t="s">
        <v>124</v>
      </c>
      <c r="I226" s="125"/>
      <c r="J226" s="126"/>
      <c r="K226" s="105"/>
      <c r="L226" s="106"/>
      <c r="M226" s="107"/>
      <c r="N226" s="107"/>
      <c r="O226" s="106"/>
      <c r="P226" s="128"/>
      <c r="Q226" s="128"/>
      <c r="R226" s="128"/>
      <c r="S226" s="128"/>
      <c r="T226" s="129"/>
      <c r="U226" s="128"/>
      <c r="V226" s="127"/>
      <c r="W226" s="128"/>
      <c r="X226" s="128"/>
      <c r="Y226" s="130"/>
      <c r="Z226" s="130"/>
      <c r="AA226" s="130"/>
      <c r="AB226" s="130"/>
      <c r="AC226" s="130"/>
      <c r="AD226" s="131"/>
      <c r="AE226" s="131"/>
      <c r="AF226" s="131"/>
      <c r="AG226" s="132"/>
      <c r="AH226" s="132"/>
      <c r="AI226" s="132"/>
      <c r="AJ226" s="132"/>
      <c r="AK226" s="132"/>
      <c r="AL226" s="111"/>
      <c r="AM226" s="111"/>
      <c r="AN226" s="316"/>
      <c r="AO226" s="316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317">
        <f>CL226*7.25%*0.9*3.5/12</f>
        <v>190312.5</v>
      </c>
      <c r="BB226" s="111"/>
      <c r="BC226" s="111"/>
      <c r="BD226" s="111">
        <v>177905.81</v>
      </c>
      <c r="BE226" s="111"/>
      <c r="BF226" s="111"/>
      <c r="BG226" s="111">
        <v>114187.5</v>
      </c>
      <c r="BH226" s="111">
        <f>BA226-BB226-BC226-BD226-BE226-BF226-BG226</f>
        <v>-101780.81</v>
      </c>
      <c r="BI226" s="111">
        <v>0</v>
      </c>
      <c r="BJ226" s="112"/>
      <c r="BK226" s="134"/>
      <c r="BL226" s="134"/>
      <c r="BM226" s="135"/>
      <c r="BN226" s="135"/>
      <c r="BO226" s="135"/>
      <c r="BP226" s="135"/>
      <c r="BQ226" s="114"/>
      <c r="BR226" s="114"/>
      <c r="BS226" s="136"/>
      <c r="BT226" s="136"/>
      <c r="BU226" s="136"/>
      <c r="BV226" s="115"/>
      <c r="BW226" s="115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>
        <v>8900000</v>
      </c>
      <c r="CH226" s="116"/>
      <c r="CI226" s="116"/>
      <c r="CJ226" s="116">
        <v>7000000</v>
      </c>
      <c r="CK226" s="116">
        <v>0</v>
      </c>
      <c r="CL226" s="116">
        <v>10000000</v>
      </c>
      <c r="CM226" s="119" t="s">
        <v>434</v>
      </c>
      <c r="CN226" s="120" t="s">
        <v>435</v>
      </c>
    </row>
    <row r="227" spans="1:92" s="118" customFormat="1" ht="18.75" customHeight="1" x14ac:dyDescent="0.2">
      <c r="A227" s="118">
        <f>A223+1</f>
        <v>113</v>
      </c>
      <c r="B227" s="99">
        <f t="shared" si="86"/>
        <v>217</v>
      </c>
      <c r="C227" s="100" t="s">
        <v>436</v>
      </c>
      <c r="D227" s="101" t="s">
        <v>437</v>
      </c>
      <c r="E227" s="100" t="s">
        <v>95</v>
      </c>
      <c r="F227" s="100" t="s">
        <v>96</v>
      </c>
      <c r="G227" s="103">
        <v>43497</v>
      </c>
      <c r="H227" s="103" t="s">
        <v>97</v>
      </c>
      <c r="I227" s="104">
        <v>5000000</v>
      </c>
      <c r="J227" s="105">
        <v>7.7499999999999999E-2</v>
      </c>
      <c r="K227" s="105">
        <v>7.4999999999999997E-2</v>
      </c>
      <c r="L227" s="106">
        <v>0.9</v>
      </c>
      <c r="M227" s="107">
        <v>10</v>
      </c>
      <c r="N227" s="107">
        <v>4</v>
      </c>
      <c r="O227" s="106">
        <v>12</v>
      </c>
      <c r="P227" s="107">
        <f t="shared" si="79"/>
        <v>290625</v>
      </c>
      <c r="Q227" s="107">
        <f t="shared" si="76"/>
        <v>3033280.3294915948</v>
      </c>
      <c r="R227" s="107">
        <f t="shared" si="80"/>
        <v>176309.41915169894</v>
      </c>
      <c r="S227" s="107">
        <f t="shared" si="77"/>
        <v>114315.58084830106</v>
      </c>
      <c r="T227" s="108">
        <v>0.606656065898319</v>
      </c>
      <c r="U227" s="107"/>
      <c r="V227" s="106"/>
      <c r="W227" s="107">
        <f t="shared" si="74"/>
        <v>3033280.3294915948</v>
      </c>
      <c r="X227" s="107">
        <f t="shared" si="74"/>
        <v>176309.41915169894</v>
      </c>
      <c r="Y227" s="109">
        <f t="shared" si="75"/>
        <v>3033280.3294915948</v>
      </c>
      <c r="Z227" s="109">
        <f t="shared" si="75"/>
        <v>176309.41915169894</v>
      </c>
      <c r="AA227" s="109"/>
      <c r="AB227" s="109"/>
      <c r="AC227" s="109">
        <f t="shared" si="81"/>
        <v>176309.41915169894</v>
      </c>
      <c r="AD227" s="110">
        <v>3033280.3294915948</v>
      </c>
      <c r="AE227" s="110">
        <f t="shared" si="92"/>
        <v>3370311.4772128826</v>
      </c>
      <c r="AF227" s="110"/>
      <c r="AG227" s="111"/>
      <c r="AH227" s="111"/>
      <c r="AI227" s="111"/>
      <c r="AJ227" s="111"/>
      <c r="AK227" s="111"/>
      <c r="AL227" s="111">
        <f t="shared" si="72"/>
        <v>176309.41915169894</v>
      </c>
      <c r="AM227" s="111"/>
      <c r="AN227" s="318">
        <v>111600</v>
      </c>
      <c r="AO227" s="279"/>
      <c r="AP227" s="111">
        <f t="shared" si="68"/>
        <v>64709.419151698938</v>
      </c>
      <c r="AQ227" s="111"/>
      <c r="AR227" s="111">
        <f t="shared" si="87"/>
        <v>64709.419151698938</v>
      </c>
      <c r="AS227" s="111"/>
      <c r="AT227" s="111">
        <f>BY227*K227*L227*N227/O227</f>
        <v>40500</v>
      </c>
      <c r="AU227" s="111">
        <f t="shared" si="93"/>
        <v>24209.419151698938</v>
      </c>
      <c r="AV227" s="111"/>
      <c r="AW227" s="111"/>
      <c r="AX227" s="111"/>
      <c r="AY227" s="111">
        <v>40500</v>
      </c>
      <c r="AZ227" s="111"/>
      <c r="BA227" s="111">
        <f t="shared" si="88"/>
        <v>40500</v>
      </c>
      <c r="BB227" s="111"/>
      <c r="BC227" s="111"/>
      <c r="BD227" s="111"/>
      <c r="BE227" s="111"/>
      <c r="BF227" s="111">
        <v>41596.879999999997</v>
      </c>
      <c r="BG227" s="111"/>
      <c r="BH227" s="111">
        <f t="shared" si="85"/>
        <v>-1096.8799999999974</v>
      </c>
      <c r="BI227" s="111">
        <v>0</v>
      </c>
      <c r="BJ227" s="112">
        <f t="shared" si="64"/>
        <v>3791600.411864493</v>
      </c>
      <c r="BK227" s="112"/>
      <c r="BL227" s="112"/>
      <c r="BM227" s="113"/>
      <c r="BN227" s="113"/>
      <c r="BO227" s="113"/>
      <c r="BP227" s="113"/>
      <c r="BQ227" s="114">
        <f t="shared" si="73"/>
        <v>3791600.411864493</v>
      </c>
      <c r="BR227" s="114">
        <f t="shared" si="69"/>
        <v>4333257.6135594212</v>
      </c>
      <c r="BS227" s="98"/>
      <c r="BT227" s="270">
        <f>AN227/7.75%/0.9/6*12</f>
        <v>3200000</v>
      </c>
      <c r="BU227" s="98"/>
      <c r="BV227" s="115">
        <f t="shared" si="70"/>
        <v>1855467.2158193244</v>
      </c>
      <c r="BW227" s="115"/>
      <c r="BX227" s="116">
        <f t="shared" si="89"/>
        <v>2875974.1845199526</v>
      </c>
      <c r="BY227" s="116">
        <v>1800000</v>
      </c>
      <c r="BZ227" s="116"/>
      <c r="CA227" s="116"/>
      <c r="CB227" s="116"/>
      <c r="CC227" s="116"/>
      <c r="CD227" s="116">
        <v>1800000</v>
      </c>
      <c r="CE227" s="116"/>
      <c r="CF227" s="116"/>
      <c r="CG227" s="116"/>
      <c r="CH227" s="116"/>
      <c r="CI227" s="116">
        <v>2600000</v>
      </c>
      <c r="CJ227" s="116"/>
      <c r="CK227" s="116">
        <v>0</v>
      </c>
      <c r="CL227" s="116">
        <v>4000000</v>
      </c>
      <c r="CM227" s="119" t="s">
        <v>438</v>
      </c>
      <c r="CN227" s="120" t="s">
        <v>106</v>
      </c>
    </row>
    <row r="228" spans="1:92" s="120" customFormat="1" ht="25.5" x14ac:dyDescent="0.2">
      <c r="A228" s="120">
        <f>A227+1</f>
        <v>114</v>
      </c>
      <c r="B228" s="99">
        <f t="shared" si="86"/>
        <v>218</v>
      </c>
      <c r="C228" s="122" t="s">
        <v>439</v>
      </c>
      <c r="D228" s="123" t="s">
        <v>440</v>
      </c>
      <c r="E228" s="122" t="s">
        <v>95</v>
      </c>
      <c r="F228" s="100" t="s">
        <v>134</v>
      </c>
      <c r="G228" s="124">
        <v>43497</v>
      </c>
      <c r="H228" s="124">
        <v>43497</v>
      </c>
      <c r="I228" s="125">
        <v>25000000</v>
      </c>
      <c r="J228" s="126">
        <v>7.7499999999999999E-2</v>
      </c>
      <c r="K228" s="105">
        <v>7.4999999999999997E-2</v>
      </c>
      <c r="L228" s="127">
        <v>0.9</v>
      </c>
      <c r="M228" s="128">
        <v>10</v>
      </c>
      <c r="N228" s="128"/>
      <c r="O228" s="127">
        <v>12</v>
      </c>
      <c r="P228" s="128">
        <f t="shared" si="79"/>
        <v>1453125</v>
      </c>
      <c r="Q228" s="128">
        <f t="shared" si="76"/>
        <v>15166401.647457974</v>
      </c>
      <c r="R228" s="128">
        <f t="shared" si="80"/>
        <v>881547.09575849457</v>
      </c>
      <c r="S228" s="128">
        <f t="shared" si="77"/>
        <v>571577.90424150543</v>
      </c>
      <c r="T228" s="129">
        <v>0.606656065898319</v>
      </c>
      <c r="U228" s="128"/>
      <c r="V228" s="127"/>
      <c r="W228" s="128">
        <f t="shared" si="74"/>
        <v>15166401.647457974</v>
      </c>
      <c r="X228" s="128">
        <f t="shared" si="74"/>
        <v>881547.09575849457</v>
      </c>
      <c r="Y228" s="130">
        <f t="shared" si="75"/>
        <v>15166401.647457974</v>
      </c>
      <c r="Z228" s="130">
        <f t="shared" si="75"/>
        <v>881547.09575849457</v>
      </c>
      <c r="AA228" s="130"/>
      <c r="AB228" s="130">
        <f>1346756.25-AB230-AB229</f>
        <v>881547.1</v>
      </c>
      <c r="AC228" s="130">
        <f t="shared" si="81"/>
        <v>-4.2415054049342871E-3</v>
      </c>
      <c r="AD228" s="131">
        <v>-6825738.2826842144</v>
      </c>
      <c r="AE228" s="131">
        <f t="shared" si="92"/>
        <v>-8.1080151109854948E-2</v>
      </c>
      <c r="AF228" s="131"/>
      <c r="AG228" s="132"/>
      <c r="AH228" s="132"/>
      <c r="AI228" s="132"/>
      <c r="AJ228" s="132"/>
      <c r="AK228" s="132"/>
      <c r="AL228" s="111">
        <f t="shared" si="72"/>
        <v>-4.2415054049342871E-3</v>
      </c>
      <c r="AM228" s="111"/>
      <c r="AN228" s="111"/>
      <c r="AO228" s="111"/>
      <c r="AP228" s="111">
        <f t="shared" si="68"/>
        <v>-4.2415054049342871E-3</v>
      </c>
      <c r="AQ228" s="111"/>
      <c r="AR228" s="111">
        <f t="shared" si="87"/>
        <v>-4.2415054049342871E-3</v>
      </c>
      <c r="AS228" s="111"/>
      <c r="AT228" s="111">
        <v>0</v>
      </c>
      <c r="AU228" s="111">
        <f t="shared" si="93"/>
        <v>-4.2415054049342871E-3</v>
      </c>
      <c r="AV228" s="111"/>
      <c r="AW228" s="111"/>
      <c r="AX228" s="111"/>
      <c r="AY228" s="111"/>
      <c r="AZ228" s="111"/>
      <c r="BA228" s="111">
        <f t="shared" si="88"/>
        <v>0</v>
      </c>
      <c r="BB228" s="111"/>
      <c r="BC228" s="111"/>
      <c r="BD228" s="111"/>
      <c r="BE228" s="111"/>
      <c r="BF228" s="111"/>
      <c r="BG228" s="111"/>
      <c r="BH228" s="111">
        <f t="shared" si="85"/>
        <v>0</v>
      </c>
      <c r="BI228" s="111"/>
      <c r="BJ228" s="133">
        <f t="shared" si="64"/>
        <v>-9.1215169998586809E-2</v>
      </c>
      <c r="BK228" s="134"/>
      <c r="BL228" s="134"/>
      <c r="BM228" s="135"/>
      <c r="BN228" s="135"/>
      <c r="BO228" s="135"/>
      <c r="BP228" s="135"/>
      <c r="BQ228" s="114">
        <f t="shared" si="73"/>
        <v>-9.1215169998586809E-2</v>
      </c>
      <c r="BR228" s="114">
        <f t="shared" si="69"/>
        <v>-0.1042459085698135</v>
      </c>
      <c r="BS228" s="136"/>
      <c r="BT228" s="136"/>
      <c r="BU228" s="136"/>
      <c r="BV228" s="115">
        <f t="shared" si="70"/>
        <v>-0.12162022666478242</v>
      </c>
      <c r="BW228" s="115"/>
      <c r="BX228" s="116">
        <f t="shared" si="89"/>
        <v>-0.18851135133041277</v>
      </c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>
        <v>0</v>
      </c>
      <c r="CL228" s="116"/>
      <c r="CM228" s="119"/>
    </row>
    <row r="229" spans="1:92" s="120" customFormat="1" x14ac:dyDescent="0.2">
      <c r="B229" s="99">
        <f t="shared" si="86"/>
        <v>219</v>
      </c>
      <c r="C229" s="122" t="s">
        <v>439</v>
      </c>
      <c r="D229" s="123" t="s">
        <v>440</v>
      </c>
      <c r="E229" s="122" t="s">
        <v>151</v>
      </c>
      <c r="F229" s="100" t="s">
        <v>134</v>
      </c>
      <c r="G229" s="124">
        <v>43617</v>
      </c>
      <c r="H229" s="124">
        <v>43617</v>
      </c>
      <c r="I229" s="125">
        <v>12000000</v>
      </c>
      <c r="J229" s="126">
        <v>7.7499999999999999E-2</v>
      </c>
      <c r="K229" s="105">
        <v>7.4999999999999997E-2</v>
      </c>
      <c r="L229" s="127">
        <v>0.9</v>
      </c>
      <c r="M229" s="128">
        <v>6</v>
      </c>
      <c r="N229" s="128"/>
      <c r="O229" s="127">
        <v>12</v>
      </c>
      <c r="P229" s="128">
        <f t="shared" si="79"/>
        <v>418500</v>
      </c>
      <c r="Q229" s="128">
        <f t="shared" si="76"/>
        <v>7279872.7907798281</v>
      </c>
      <c r="R229" s="128">
        <f t="shared" si="80"/>
        <v>253885.56357844651</v>
      </c>
      <c r="S229" s="128">
        <f t="shared" si="77"/>
        <v>164614.43642155349</v>
      </c>
      <c r="T229" s="129">
        <v>0.606656065898319</v>
      </c>
      <c r="U229" s="128"/>
      <c r="V229" s="127"/>
      <c r="W229" s="128">
        <f t="shared" si="74"/>
        <v>7279872.7907798281</v>
      </c>
      <c r="X229" s="128">
        <f t="shared" si="74"/>
        <v>253885.56357844651</v>
      </c>
      <c r="Y229" s="130">
        <f t="shared" si="75"/>
        <v>7279872.7907798281</v>
      </c>
      <c r="Z229" s="130">
        <f t="shared" si="75"/>
        <v>253885.56357844651</v>
      </c>
      <c r="AA229" s="130"/>
      <c r="AB229" s="130">
        <v>253637.85</v>
      </c>
      <c r="AC229" s="130">
        <f t="shared" si="81"/>
        <v>247.71357844650629</v>
      </c>
      <c r="AD229" s="131">
        <v>0</v>
      </c>
      <c r="AE229" s="131">
        <f t="shared" si="92"/>
        <v>4735.265537806572</v>
      </c>
      <c r="AF229" s="131"/>
      <c r="AG229" s="132"/>
      <c r="AH229" s="132"/>
      <c r="AI229" s="132"/>
      <c r="AJ229" s="132"/>
      <c r="AK229" s="132"/>
      <c r="AL229" s="111">
        <f t="shared" si="72"/>
        <v>247.71357844650629</v>
      </c>
      <c r="AM229" s="111"/>
      <c r="AN229" s="111"/>
      <c r="AO229" s="111"/>
      <c r="AP229" s="111">
        <f t="shared" si="68"/>
        <v>247.71357844650629</v>
      </c>
      <c r="AQ229" s="111"/>
      <c r="AR229" s="111">
        <f t="shared" si="87"/>
        <v>247.71357844650629</v>
      </c>
      <c r="AS229" s="111"/>
      <c r="AT229" s="111">
        <v>0</v>
      </c>
      <c r="AU229" s="111">
        <f t="shared" si="93"/>
        <v>247.71357844650629</v>
      </c>
      <c r="AV229" s="111"/>
      <c r="AW229" s="111"/>
      <c r="AX229" s="111"/>
      <c r="AY229" s="111"/>
      <c r="AZ229" s="111"/>
      <c r="BA229" s="111">
        <f t="shared" si="88"/>
        <v>0</v>
      </c>
      <c r="BB229" s="111"/>
      <c r="BC229" s="111"/>
      <c r="BD229" s="111"/>
      <c r="BE229" s="111"/>
      <c r="BF229" s="111"/>
      <c r="BG229" s="111"/>
      <c r="BH229" s="111">
        <f t="shared" si="85"/>
        <v>0</v>
      </c>
      <c r="BI229" s="111"/>
      <c r="BJ229" s="112">
        <f t="shared" si="64"/>
        <v>5327.173730032393</v>
      </c>
      <c r="BK229" s="134"/>
      <c r="BL229" s="134"/>
      <c r="BM229" s="135"/>
      <c r="BN229" s="135"/>
      <c r="BO229" s="135"/>
      <c r="BP229" s="135"/>
      <c r="BQ229" s="114">
        <f t="shared" si="73"/>
        <v>5327.173730032393</v>
      </c>
      <c r="BR229" s="114">
        <f t="shared" si="69"/>
        <v>6088.1985486084495</v>
      </c>
      <c r="BS229" s="136"/>
      <c r="BT229" s="136"/>
      <c r="BU229" s="136"/>
      <c r="BV229" s="115">
        <f t="shared" si="70"/>
        <v>7102.8983067098579</v>
      </c>
      <c r="BW229" s="115"/>
      <c r="BX229" s="116">
        <f t="shared" si="89"/>
        <v>11009.492375400279</v>
      </c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>
        <v>0</v>
      </c>
      <c r="CL229" s="116"/>
      <c r="CM229" s="119"/>
    </row>
    <row r="230" spans="1:92" s="120" customFormat="1" ht="25.5" x14ac:dyDescent="0.2">
      <c r="B230" s="99">
        <f t="shared" si="86"/>
        <v>220</v>
      </c>
      <c r="C230" s="122" t="s">
        <v>439</v>
      </c>
      <c r="D230" s="123" t="s">
        <v>440</v>
      </c>
      <c r="E230" s="122" t="s">
        <v>95</v>
      </c>
      <c r="F230" s="100" t="s">
        <v>134</v>
      </c>
      <c r="G230" s="124">
        <v>43617</v>
      </c>
      <c r="H230" s="124">
        <v>43617</v>
      </c>
      <c r="I230" s="125">
        <v>10000000</v>
      </c>
      <c r="J230" s="126">
        <v>7.7499999999999999E-2</v>
      </c>
      <c r="K230" s="105">
        <v>7.4999999999999997E-2</v>
      </c>
      <c r="L230" s="127">
        <v>0.9</v>
      </c>
      <c r="M230" s="128">
        <v>6</v>
      </c>
      <c r="N230" s="128"/>
      <c r="O230" s="127">
        <v>12</v>
      </c>
      <c r="P230" s="128">
        <f t="shared" si="79"/>
        <v>348750</v>
      </c>
      <c r="Q230" s="128">
        <f t="shared" si="76"/>
        <v>6066560.6589831896</v>
      </c>
      <c r="R230" s="128">
        <f t="shared" si="80"/>
        <v>211571.30298203873</v>
      </c>
      <c r="S230" s="128">
        <f t="shared" si="77"/>
        <v>137178.69701796127</v>
      </c>
      <c r="T230" s="129">
        <v>0.606656065898319</v>
      </c>
      <c r="U230" s="128"/>
      <c r="V230" s="127"/>
      <c r="W230" s="128">
        <f t="shared" si="74"/>
        <v>6066560.6589831896</v>
      </c>
      <c r="X230" s="128">
        <f t="shared" si="74"/>
        <v>211571.30298203873</v>
      </c>
      <c r="Y230" s="130">
        <f t="shared" si="75"/>
        <v>6066560.6589831896</v>
      </c>
      <c r="Z230" s="130">
        <f t="shared" si="75"/>
        <v>211571.30298203873</v>
      </c>
      <c r="AA230" s="130"/>
      <c r="AB230" s="130">
        <v>211571.3</v>
      </c>
      <c r="AC230" s="130">
        <f t="shared" si="81"/>
        <v>2.9820387426298112E-3</v>
      </c>
      <c r="AD230" s="131">
        <v>0</v>
      </c>
      <c r="AE230" s="131">
        <f t="shared" si="92"/>
        <v>5.700432482924371E-2</v>
      </c>
      <c r="AF230" s="131"/>
      <c r="AG230" s="132"/>
      <c r="AH230" s="132"/>
      <c r="AI230" s="132"/>
      <c r="AJ230" s="132"/>
      <c r="AK230" s="132"/>
      <c r="AL230" s="111">
        <f t="shared" si="72"/>
        <v>2.9820387426298112E-3</v>
      </c>
      <c r="AM230" s="111"/>
      <c r="AN230" s="111"/>
      <c r="AO230" s="111"/>
      <c r="AP230" s="111">
        <f t="shared" si="68"/>
        <v>2.9820387426298112E-3</v>
      </c>
      <c r="AQ230" s="111"/>
      <c r="AR230" s="111">
        <f t="shared" si="87"/>
        <v>2.9820387426298112E-3</v>
      </c>
      <c r="AS230" s="111"/>
      <c r="AT230" s="111">
        <v>0</v>
      </c>
      <c r="AU230" s="111">
        <f t="shared" si="93"/>
        <v>2.9820387426298112E-3</v>
      </c>
      <c r="AV230" s="111"/>
      <c r="AW230" s="111"/>
      <c r="AX230" s="111"/>
      <c r="AY230" s="111"/>
      <c r="AZ230" s="111"/>
      <c r="BA230" s="111">
        <f t="shared" si="88"/>
        <v>0</v>
      </c>
      <c r="BB230" s="111"/>
      <c r="BC230" s="111"/>
      <c r="BD230" s="111"/>
      <c r="BE230" s="111"/>
      <c r="BF230" s="111"/>
      <c r="BG230" s="111"/>
      <c r="BH230" s="111">
        <f t="shared" si="85"/>
        <v>0</v>
      </c>
      <c r="BI230" s="111"/>
      <c r="BJ230" s="112">
        <f t="shared" si="64"/>
        <v>6.4129865432899169E-2</v>
      </c>
      <c r="BK230" s="134"/>
      <c r="BL230" s="134"/>
      <c r="BM230" s="135"/>
      <c r="BN230" s="135"/>
      <c r="BO230" s="135"/>
      <c r="BP230" s="135"/>
      <c r="BQ230" s="114">
        <f t="shared" si="73"/>
        <v>6.4129865432899169E-2</v>
      </c>
      <c r="BR230" s="114">
        <f t="shared" si="69"/>
        <v>7.3291274780456189E-2</v>
      </c>
      <c r="BS230" s="136"/>
      <c r="BT230" s="136"/>
      <c r="BU230" s="136"/>
      <c r="BV230" s="115">
        <f t="shared" si="70"/>
        <v>8.5506487243865559E-2</v>
      </c>
      <c r="BW230" s="115"/>
      <c r="BX230" s="116">
        <f t="shared" si="89"/>
        <v>0.13253505522799161</v>
      </c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>
        <v>0</v>
      </c>
      <c r="CL230" s="116"/>
      <c r="CM230" s="119"/>
    </row>
    <row r="231" spans="1:92" s="120" customFormat="1" ht="25.5" x14ac:dyDescent="0.2">
      <c r="B231" s="99">
        <f t="shared" si="86"/>
        <v>221</v>
      </c>
      <c r="C231" s="122" t="s">
        <v>439</v>
      </c>
      <c r="D231" s="123" t="s">
        <v>440</v>
      </c>
      <c r="E231" s="122" t="s">
        <v>95</v>
      </c>
      <c r="F231" s="100" t="s">
        <v>134</v>
      </c>
      <c r="G231" s="124"/>
      <c r="H231" s="124" t="s">
        <v>344</v>
      </c>
      <c r="I231" s="125"/>
      <c r="J231" s="126"/>
      <c r="K231" s="105">
        <v>7.4999999999999997E-2</v>
      </c>
      <c r="L231" s="106">
        <v>0.9</v>
      </c>
      <c r="M231" s="107">
        <v>10</v>
      </c>
      <c r="N231" s="107">
        <v>4</v>
      </c>
      <c r="O231" s="106">
        <v>12</v>
      </c>
      <c r="P231" s="128"/>
      <c r="Q231" s="128"/>
      <c r="R231" s="128"/>
      <c r="S231" s="128"/>
      <c r="T231" s="129"/>
      <c r="U231" s="128"/>
      <c r="V231" s="127"/>
      <c r="W231" s="128"/>
      <c r="X231" s="128"/>
      <c r="Y231" s="130"/>
      <c r="Z231" s="130"/>
      <c r="AA231" s="130"/>
      <c r="AB231" s="130"/>
      <c r="AC231" s="130"/>
      <c r="AD231" s="131"/>
      <c r="AE231" s="131"/>
      <c r="AF231" s="131"/>
      <c r="AG231" s="132"/>
      <c r="AH231" s="132"/>
      <c r="AI231" s="132"/>
      <c r="AJ231" s="132"/>
      <c r="AK231" s="132"/>
      <c r="AL231" s="111"/>
      <c r="AM231" s="111"/>
      <c r="AN231" s="111"/>
      <c r="AO231" s="111"/>
      <c r="AP231" s="111"/>
      <c r="AQ231" s="111"/>
      <c r="AR231" s="111">
        <f t="shared" si="87"/>
        <v>0</v>
      </c>
      <c r="AS231" s="111"/>
      <c r="AT231" s="111">
        <v>0</v>
      </c>
      <c r="AU231" s="111">
        <f t="shared" si="93"/>
        <v>0</v>
      </c>
      <c r="AV231" s="111"/>
      <c r="AW231" s="111"/>
      <c r="AX231" s="111"/>
      <c r="AY231" s="111"/>
      <c r="AZ231" s="111"/>
      <c r="BA231" s="300">
        <f t="shared" ref="BA231:BA232" si="94">CL231*7.25%*0.9*3.5/12</f>
        <v>494812.49999999994</v>
      </c>
      <c r="BB231" s="111"/>
      <c r="BC231" s="111"/>
      <c r="BD231" s="111">
        <v>432258.9</v>
      </c>
      <c r="BE231" s="111"/>
      <c r="BF231" s="111"/>
      <c r="BG231" s="111"/>
      <c r="BH231" s="111">
        <f t="shared" si="85"/>
        <v>62553.599999999919</v>
      </c>
      <c r="BI231" s="111">
        <v>0</v>
      </c>
      <c r="BJ231" s="112"/>
      <c r="BK231" s="134"/>
      <c r="BL231" s="134"/>
      <c r="BM231" s="135"/>
      <c r="BN231" s="135"/>
      <c r="BO231" s="135"/>
      <c r="BP231" s="135"/>
      <c r="BQ231" s="114"/>
      <c r="BR231" s="114"/>
      <c r="BS231" s="136"/>
      <c r="BT231" s="136"/>
      <c r="BU231" s="136"/>
      <c r="BV231" s="115"/>
      <c r="BW231" s="115"/>
      <c r="BX231" s="116">
        <f t="shared" si="89"/>
        <v>0</v>
      </c>
      <c r="BY231" s="116"/>
      <c r="BZ231" s="116"/>
      <c r="CA231" s="116"/>
      <c r="CB231" s="116"/>
      <c r="CC231" s="116"/>
      <c r="CD231" s="116"/>
      <c r="CE231" s="116"/>
      <c r="CF231" s="116"/>
      <c r="CG231" s="116">
        <v>26000000</v>
      </c>
      <c r="CH231" s="116"/>
      <c r="CI231" s="116"/>
      <c r="CJ231" s="116"/>
      <c r="CK231" s="116">
        <v>0</v>
      </c>
      <c r="CL231" s="116">
        <v>26000000</v>
      </c>
      <c r="CM231" s="119" t="s">
        <v>135</v>
      </c>
      <c r="CN231" s="120" t="s">
        <v>230</v>
      </c>
    </row>
    <row r="232" spans="1:92" s="120" customFormat="1" ht="25.5" x14ac:dyDescent="0.2">
      <c r="B232" s="99">
        <f t="shared" si="86"/>
        <v>222</v>
      </c>
      <c r="C232" s="122" t="s">
        <v>439</v>
      </c>
      <c r="D232" s="123" t="s">
        <v>440</v>
      </c>
      <c r="E232" s="122" t="s">
        <v>161</v>
      </c>
      <c r="F232" s="100" t="s">
        <v>134</v>
      </c>
      <c r="G232" s="124"/>
      <c r="H232" s="124" t="s">
        <v>97</v>
      </c>
      <c r="I232" s="125"/>
      <c r="J232" s="126"/>
      <c r="K232" s="105">
        <v>7.4999999999999997E-2</v>
      </c>
      <c r="L232" s="106">
        <v>0.9</v>
      </c>
      <c r="M232" s="107">
        <v>10</v>
      </c>
      <c r="N232" s="107">
        <v>4</v>
      </c>
      <c r="O232" s="106">
        <v>12</v>
      </c>
      <c r="P232" s="128"/>
      <c r="Q232" s="128"/>
      <c r="R232" s="128"/>
      <c r="S232" s="128"/>
      <c r="T232" s="129"/>
      <c r="U232" s="128"/>
      <c r="V232" s="127"/>
      <c r="W232" s="128"/>
      <c r="X232" s="128"/>
      <c r="Y232" s="130"/>
      <c r="Z232" s="130"/>
      <c r="AA232" s="130"/>
      <c r="AB232" s="130"/>
      <c r="AC232" s="130"/>
      <c r="AD232" s="131"/>
      <c r="AE232" s="131"/>
      <c r="AF232" s="131"/>
      <c r="AG232" s="132"/>
      <c r="AH232" s="132"/>
      <c r="AI232" s="132"/>
      <c r="AJ232" s="132"/>
      <c r="AK232" s="132"/>
      <c r="AL232" s="111"/>
      <c r="AM232" s="111"/>
      <c r="AN232" s="111"/>
      <c r="AO232" s="111"/>
      <c r="AP232" s="111"/>
      <c r="AQ232" s="111"/>
      <c r="AR232" s="111">
        <f t="shared" si="87"/>
        <v>0</v>
      </c>
      <c r="AS232" s="111"/>
      <c r="AT232" s="111">
        <v>0</v>
      </c>
      <c r="AU232" s="111">
        <f t="shared" si="93"/>
        <v>0</v>
      </c>
      <c r="AV232" s="111"/>
      <c r="AW232" s="111"/>
      <c r="AX232" s="111"/>
      <c r="AY232" s="111"/>
      <c r="AZ232" s="111"/>
      <c r="BA232" s="300">
        <f t="shared" si="94"/>
        <v>76125</v>
      </c>
      <c r="BB232" s="111"/>
      <c r="BC232" s="111"/>
      <c r="BD232" s="111">
        <v>66501.37</v>
      </c>
      <c r="BE232" s="111"/>
      <c r="BF232" s="111"/>
      <c r="BG232" s="111"/>
      <c r="BH232" s="111">
        <f t="shared" si="85"/>
        <v>9623.6300000000047</v>
      </c>
      <c r="BI232" s="111">
        <v>0</v>
      </c>
      <c r="BJ232" s="112"/>
      <c r="BK232" s="134"/>
      <c r="BL232" s="134"/>
      <c r="BM232" s="135"/>
      <c r="BN232" s="135"/>
      <c r="BO232" s="135"/>
      <c r="BP232" s="135"/>
      <c r="BQ232" s="114"/>
      <c r="BR232" s="114"/>
      <c r="BS232" s="136"/>
      <c r="BT232" s="136"/>
      <c r="BU232" s="136"/>
      <c r="BV232" s="115"/>
      <c r="BW232" s="115"/>
      <c r="BX232" s="116">
        <f t="shared" si="89"/>
        <v>0</v>
      </c>
      <c r="BY232" s="116"/>
      <c r="BZ232" s="116"/>
      <c r="CA232" s="116"/>
      <c r="CB232" s="116"/>
      <c r="CC232" s="116"/>
      <c r="CD232" s="116"/>
      <c r="CE232" s="116"/>
      <c r="CF232" s="116"/>
      <c r="CG232" s="116">
        <v>4000000</v>
      </c>
      <c r="CH232" s="116"/>
      <c r="CI232" s="116"/>
      <c r="CJ232" s="116"/>
      <c r="CK232" s="116">
        <v>0</v>
      </c>
      <c r="CL232" s="116">
        <v>4000000</v>
      </c>
      <c r="CM232" s="119" t="s">
        <v>135</v>
      </c>
      <c r="CN232" s="120" t="s">
        <v>109</v>
      </c>
    </row>
    <row r="233" spans="1:92" s="120" customFormat="1" ht="25.5" x14ac:dyDescent="0.2">
      <c r="A233" s="120">
        <f>A228+1</f>
        <v>115</v>
      </c>
      <c r="B233" s="99">
        <f t="shared" si="86"/>
        <v>223</v>
      </c>
      <c r="C233" s="122" t="s">
        <v>441</v>
      </c>
      <c r="D233" s="123" t="s">
        <v>442</v>
      </c>
      <c r="E233" s="122" t="s">
        <v>95</v>
      </c>
      <c r="F233" s="100" t="s">
        <v>134</v>
      </c>
      <c r="G233" s="124">
        <v>43525</v>
      </c>
      <c r="H233" s="124">
        <v>43525</v>
      </c>
      <c r="I233" s="125">
        <v>10000000</v>
      </c>
      <c r="J233" s="126">
        <v>7.7499999999999999E-2</v>
      </c>
      <c r="K233" s="105">
        <v>7.4999999999999997E-2</v>
      </c>
      <c r="L233" s="127">
        <v>0.9</v>
      </c>
      <c r="M233" s="128">
        <v>9</v>
      </c>
      <c r="N233" s="128"/>
      <c r="O233" s="127">
        <v>12</v>
      </c>
      <c r="P233" s="128">
        <f t="shared" si="79"/>
        <v>523125</v>
      </c>
      <c r="Q233" s="128">
        <f t="shared" si="76"/>
        <v>6066560.6589831896</v>
      </c>
      <c r="R233" s="128">
        <f t="shared" si="80"/>
        <v>317356.95447305811</v>
      </c>
      <c r="S233" s="128">
        <f t="shared" si="77"/>
        <v>205768.04552694189</v>
      </c>
      <c r="T233" s="129">
        <v>0.606656065898319</v>
      </c>
      <c r="U233" s="172">
        <v>9900000</v>
      </c>
      <c r="V233" s="141">
        <v>575437.5</v>
      </c>
      <c r="W233" s="128">
        <f t="shared" si="74"/>
        <v>-3833439.3410168104</v>
      </c>
      <c r="X233" s="128">
        <f t="shared" si="74"/>
        <v>-258080.54552694189</v>
      </c>
      <c r="Y233" s="130">
        <f t="shared" si="75"/>
        <v>-3833439.3410168104</v>
      </c>
      <c r="Z233" s="130">
        <f t="shared" si="75"/>
        <v>-258080.54552694189</v>
      </c>
      <c r="AA233" s="130"/>
      <c r="AB233" s="130"/>
      <c r="AC233" s="130">
        <f t="shared" si="81"/>
        <v>-258080.54552694189</v>
      </c>
      <c r="AD233" s="131">
        <v>-6810143.1103726942</v>
      </c>
      <c r="AE233" s="131">
        <f t="shared" si="92"/>
        <v>-4933439.3410168104</v>
      </c>
      <c r="AF233" s="131"/>
      <c r="AG233" s="132"/>
      <c r="AH233" s="132"/>
      <c r="AI233" s="132"/>
      <c r="AJ233" s="132"/>
      <c r="AK233" s="132"/>
      <c r="AL233" s="111">
        <f t="shared" si="72"/>
        <v>-258080.54552694189</v>
      </c>
      <c r="AM233" s="111"/>
      <c r="AN233" s="111"/>
      <c r="AO233" s="111"/>
      <c r="AP233" s="111">
        <f t="shared" si="68"/>
        <v>-258080.54552694189</v>
      </c>
      <c r="AQ233" s="111"/>
      <c r="AR233" s="111">
        <f t="shared" si="87"/>
        <v>-258080.54552694189</v>
      </c>
      <c r="AS233" s="111"/>
      <c r="AT233" s="111">
        <v>0</v>
      </c>
      <c r="AU233" s="111"/>
      <c r="AV233" s="111"/>
      <c r="AW233" s="111"/>
      <c r="AX233" s="111"/>
      <c r="AY233" s="111"/>
      <c r="AZ233" s="111"/>
      <c r="BA233" s="111">
        <f t="shared" si="88"/>
        <v>0</v>
      </c>
      <c r="BB233" s="111"/>
      <c r="BC233" s="111"/>
      <c r="BD233" s="111"/>
      <c r="BE233" s="111"/>
      <c r="BF233" s="111"/>
      <c r="BG233" s="111"/>
      <c r="BH233" s="111">
        <f t="shared" si="85"/>
        <v>0</v>
      </c>
      <c r="BI233" s="111"/>
      <c r="BJ233" s="133">
        <f t="shared" si="64"/>
        <v>-5550119.2586439122</v>
      </c>
      <c r="BK233" s="134"/>
      <c r="BL233" s="134"/>
      <c r="BM233" s="135"/>
      <c r="BN233" s="135"/>
      <c r="BO233" s="135"/>
      <c r="BP233" s="135"/>
      <c r="BQ233" s="114">
        <f t="shared" si="73"/>
        <v>-5550119.2586439122</v>
      </c>
      <c r="BR233" s="114">
        <f t="shared" si="69"/>
        <v>-6342993.4384501837</v>
      </c>
      <c r="BS233" s="136"/>
      <c r="BT233" s="136"/>
      <c r="BU233" s="136"/>
      <c r="BV233" s="115">
        <f t="shared" si="70"/>
        <v>-7400159.0115252156</v>
      </c>
      <c r="BW233" s="115"/>
      <c r="BX233" s="116">
        <f t="shared" si="89"/>
        <v>-11470246.467864085</v>
      </c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>
        <v>0</v>
      </c>
      <c r="CL233" s="116"/>
      <c r="CM233" s="119"/>
    </row>
    <row r="234" spans="1:92" s="120" customFormat="1" ht="25.5" x14ac:dyDescent="0.2">
      <c r="B234" s="99">
        <f t="shared" si="86"/>
        <v>224</v>
      </c>
      <c r="C234" s="122" t="s">
        <v>441</v>
      </c>
      <c r="D234" s="123" t="s">
        <v>442</v>
      </c>
      <c r="E234" s="122" t="s">
        <v>151</v>
      </c>
      <c r="F234" s="100" t="s">
        <v>134</v>
      </c>
      <c r="G234" s="124">
        <v>43525</v>
      </c>
      <c r="H234" s="124">
        <v>43525</v>
      </c>
      <c r="I234" s="125">
        <v>5000000</v>
      </c>
      <c r="J234" s="126">
        <v>7.7499999999999999E-2</v>
      </c>
      <c r="K234" s="105">
        <v>7.4999999999999997E-2</v>
      </c>
      <c r="L234" s="127">
        <v>0.9</v>
      </c>
      <c r="M234" s="128">
        <v>9</v>
      </c>
      <c r="N234" s="128"/>
      <c r="O234" s="127">
        <v>12</v>
      </c>
      <c r="P234" s="128">
        <f t="shared" si="79"/>
        <v>261562.5</v>
      </c>
      <c r="Q234" s="128">
        <f t="shared" si="76"/>
        <v>3033280.3294915948</v>
      </c>
      <c r="R234" s="128">
        <f t="shared" si="80"/>
        <v>158678.47723652906</v>
      </c>
      <c r="S234" s="128">
        <f t="shared" si="77"/>
        <v>102884.02276347094</v>
      </c>
      <c r="T234" s="129">
        <v>0.606656065898319</v>
      </c>
      <c r="U234" s="172">
        <v>5100000</v>
      </c>
      <c r="V234" s="141">
        <v>296437.5</v>
      </c>
      <c r="W234" s="128">
        <f t="shared" si="74"/>
        <v>-2066719.6705084052</v>
      </c>
      <c r="X234" s="128">
        <f t="shared" si="74"/>
        <v>-137759.02276347094</v>
      </c>
      <c r="Y234" s="130">
        <f t="shared" si="75"/>
        <v>-2066719.6705084052</v>
      </c>
      <c r="Z234" s="130">
        <f t="shared" si="75"/>
        <v>-137759.02276347094</v>
      </c>
      <c r="AA234" s="130"/>
      <c r="AB234" s="130"/>
      <c r="AC234" s="130">
        <f t="shared" si="81"/>
        <v>-137759.02276347094</v>
      </c>
      <c r="AD234" s="131">
        <v>0</v>
      </c>
      <c r="AE234" s="131">
        <f t="shared" si="92"/>
        <v>-2633386.3371750722</v>
      </c>
      <c r="AF234" s="131"/>
      <c r="AG234" s="132"/>
      <c r="AH234" s="132"/>
      <c r="AI234" s="132"/>
      <c r="AJ234" s="132"/>
      <c r="AK234" s="132"/>
      <c r="AL234" s="111">
        <f t="shared" si="72"/>
        <v>-137759.02276347094</v>
      </c>
      <c r="AM234" s="111"/>
      <c r="AN234" s="111"/>
      <c r="AO234" s="111"/>
      <c r="AP234" s="111">
        <f t="shared" si="68"/>
        <v>-137759.02276347094</v>
      </c>
      <c r="AQ234" s="111"/>
      <c r="AR234" s="111">
        <f t="shared" si="87"/>
        <v>-137759.02276347094</v>
      </c>
      <c r="AS234" s="111"/>
      <c r="AT234" s="111">
        <v>0</v>
      </c>
      <c r="AU234" s="111"/>
      <c r="AV234" s="111"/>
      <c r="AW234" s="111"/>
      <c r="AX234" s="111"/>
      <c r="AY234" s="111"/>
      <c r="AZ234" s="111"/>
      <c r="BA234" s="111">
        <f t="shared" si="88"/>
        <v>0</v>
      </c>
      <c r="BB234" s="111"/>
      <c r="BC234" s="111"/>
      <c r="BD234" s="111"/>
      <c r="BE234" s="111"/>
      <c r="BF234" s="111"/>
      <c r="BG234" s="111"/>
      <c r="BH234" s="111">
        <f t="shared" si="85"/>
        <v>0</v>
      </c>
      <c r="BI234" s="111"/>
      <c r="BJ234" s="133">
        <f t="shared" si="64"/>
        <v>-2962559.6293219561</v>
      </c>
      <c r="BK234" s="134"/>
      <c r="BL234" s="134"/>
      <c r="BM234" s="135"/>
      <c r="BN234" s="135"/>
      <c r="BO234" s="135"/>
      <c r="BP234" s="135"/>
      <c r="BQ234" s="114">
        <f t="shared" si="73"/>
        <v>-2962559.6293219561</v>
      </c>
      <c r="BR234" s="114">
        <f t="shared" si="69"/>
        <v>-3385782.4335108069</v>
      </c>
      <c r="BS234" s="136"/>
      <c r="BT234" s="136"/>
      <c r="BU234" s="136"/>
      <c r="BV234" s="115">
        <f t="shared" si="70"/>
        <v>-3950079.5057626078</v>
      </c>
      <c r="BW234" s="115"/>
      <c r="BX234" s="116">
        <f t="shared" si="89"/>
        <v>-6122623.2339320425</v>
      </c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>
        <v>0</v>
      </c>
      <c r="CL234" s="116"/>
      <c r="CM234" s="119"/>
    </row>
    <row r="235" spans="1:92" s="120" customFormat="1" ht="25.5" x14ac:dyDescent="0.2">
      <c r="B235" s="99">
        <f t="shared" si="86"/>
        <v>225</v>
      </c>
      <c r="C235" s="122" t="s">
        <v>441</v>
      </c>
      <c r="D235" s="123" t="s">
        <v>442</v>
      </c>
      <c r="E235" s="122" t="s">
        <v>95</v>
      </c>
      <c r="F235" s="100" t="s">
        <v>134</v>
      </c>
      <c r="G235" s="124"/>
      <c r="H235" s="124" t="s">
        <v>97</v>
      </c>
      <c r="I235" s="125"/>
      <c r="J235" s="126"/>
      <c r="K235" s="105">
        <v>7.4999999999999997E-2</v>
      </c>
      <c r="L235" s="127">
        <v>0.9</v>
      </c>
      <c r="M235" s="128">
        <v>9</v>
      </c>
      <c r="N235" s="128">
        <v>4</v>
      </c>
      <c r="O235" s="127">
        <v>12</v>
      </c>
      <c r="P235" s="128"/>
      <c r="Q235" s="128">
        <f t="shared" si="76"/>
        <v>0</v>
      </c>
      <c r="R235" s="128"/>
      <c r="S235" s="128"/>
      <c r="T235" s="129"/>
      <c r="U235" s="172"/>
      <c r="V235" s="141"/>
      <c r="W235" s="128"/>
      <c r="X235" s="128"/>
      <c r="Y235" s="130"/>
      <c r="Z235" s="130"/>
      <c r="AA235" s="130"/>
      <c r="AB235" s="130"/>
      <c r="AC235" s="130"/>
      <c r="AD235" s="131"/>
      <c r="AE235" s="131"/>
      <c r="AF235" s="131"/>
      <c r="AG235" s="132"/>
      <c r="AH235" s="132"/>
      <c r="AI235" s="132"/>
      <c r="AJ235" s="132"/>
      <c r="AK235" s="132"/>
      <c r="AL235" s="111"/>
      <c r="AM235" s="111"/>
      <c r="AN235" s="111"/>
      <c r="AO235" s="111"/>
      <c r="AP235" s="111"/>
      <c r="AQ235" s="111"/>
      <c r="AR235" s="111">
        <f t="shared" si="87"/>
        <v>0</v>
      </c>
      <c r="AS235" s="111"/>
      <c r="AT235" s="111">
        <v>0</v>
      </c>
      <c r="AU235" s="111">
        <f t="shared" ref="AU235:AU241" si="95">AR235-AT235</f>
        <v>0</v>
      </c>
      <c r="AV235" s="111"/>
      <c r="AW235" s="111"/>
      <c r="AX235" s="111"/>
      <c r="AY235" s="111">
        <v>225000</v>
      </c>
      <c r="AZ235" s="111"/>
      <c r="BA235" s="111">
        <v>296887.5</v>
      </c>
      <c r="BB235" s="111">
        <v>296887.5</v>
      </c>
      <c r="BC235" s="111"/>
      <c r="BD235" s="111"/>
      <c r="BE235" s="111"/>
      <c r="BF235" s="111"/>
      <c r="BG235" s="111"/>
      <c r="BH235" s="111">
        <f t="shared" si="85"/>
        <v>0</v>
      </c>
      <c r="BI235" s="111">
        <v>0</v>
      </c>
      <c r="BJ235" s="133"/>
      <c r="BK235" s="134"/>
      <c r="BL235" s="134"/>
      <c r="BM235" s="135"/>
      <c r="BN235" s="135"/>
      <c r="BO235" s="135"/>
      <c r="BP235" s="135"/>
      <c r="BQ235" s="114"/>
      <c r="BR235" s="114"/>
      <c r="BS235" s="136"/>
      <c r="BT235" s="136"/>
      <c r="BU235" s="136"/>
      <c r="BV235" s="115"/>
      <c r="BW235" s="115"/>
      <c r="BX235" s="116">
        <f t="shared" si="89"/>
        <v>0</v>
      </c>
      <c r="BY235" s="116"/>
      <c r="BZ235" s="116"/>
      <c r="CA235" s="116"/>
      <c r="CB235" s="116"/>
      <c r="CC235" s="116"/>
      <c r="CD235" s="116">
        <v>10000000</v>
      </c>
      <c r="CE235" s="116">
        <v>15000000</v>
      </c>
      <c r="CF235" s="116"/>
      <c r="CG235" s="116"/>
      <c r="CH235" s="116"/>
      <c r="CI235" s="116"/>
      <c r="CJ235" s="116"/>
      <c r="CK235" s="116">
        <v>0</v>
      </c>
      <c r="CL235" s="116">
        <v>10000000</v>
      </c>
      <c r="CM235" s="119" t="s">
        <v>105</v>
      </c>
      <c r="CN235" s="120" t="s">
        <v>95</v>
      </c>
    </row>
    <row r="236" spans="1:92" s="120" customFormat="1" ht="25.5" x14ac:dyDescent="0.2">
      <c r="A236" s="120">
        <f>A233+1</f>
        <v>116</v>
      </c>
      <c r="B236" s="99">
        <f t="shared" si="86"/>
        <v>226</v>
      </c>
      <c r="C236" s="122" t="s">
        <v>443</v>
      </c>
      <c r="D236" s="123" t="s">
        <v>444</v>
      </c>
      <c r="E236" s="122" t="s">
        <v>95</v>
      </c>
      <c r="F236" s="100" t="s">
        <v>134</v>
      </c>
      <c r="G236" s="124">
        <v>43525</v>
      </c>
      <c r="H236" s="124">
        <v>43525</v>
      </c>
      <c r="I236" s="125">
        <v>15000000</v>
      </c>
      <c r="J236" s="126">
        <v>7.7499999999999999E-2</v>
      </c>
      <c r="K236" s="105">
        <v>7.4999999999999997E-2</v>
      </c>
      <c r="L236" s="127">
        <v>0.9</v>
      </c>
      <c r="M236" s="128">
        <v>9</v>
      </c>
      <c r="N236" s="128"/>
      <c r="O236" s="127">
        <v>12</v>
      </c>
      <c r="P236" s="128">
        <f t="shared" si="79"/>
        <v>784687.5</v>
      </c>
      <c r="Q236" s="128">
        <f t="shared" si="76"/>
        <v>9099840.9884747844</v>
      </c>
      <c r="R236" s="128">
        <f t="shared" si="80"/>
        <v>476035.43170958717</v>
      </c>
      <c r="S236" s="128">
        <f t="shared" si="77"/>
        <v>308652.06829041283</v>
      </c>
      <c r="T236" s="129">
        <v>0.606656065898319</v>
      </c>
      <c r="U236" s="128"/>
      <c r="V236" s="127"/>
      <c r="W236" s="128">
        <f t="shared" si="74"/>
        <v>9099840.9884747844</v>
      </c>
      <c r="X236" s="128">
        <f t="shared" si="74"/>
        <v>476035.43170958717</v>
      </c>
      <c r="Y236" s="130">
        <f t="shared" si="75"/>
        <v>9099840.9884747844</v>
      </c>
      <c r="Z236" s="130">
        <f t="shared" si="75"/>
        <v>476035.43170958717</v>
      </c>
      <c r="AA236" s="130">
        <f>813750-AA237-AA238</f>
        <v>476035.43</v>
      </c>
      <c r="AB236" s="130"/>
      <c r="AC236" s="130">
        <f t="shared" si="81"/>
        <v>1.7095871735364199E-3</v>
      </c>
      <c r="AD236" s="131">
        <v>2379713.7792546153</v>
      </c>
      <c r="AE236" s="131">
        <f t="shared" si="92"/>
        <v>3.2680280497709345E-2</v>
      </c>
      <c r="AF236" s="131"/>
      <c r="AG236" s="132"/>
      <c r="AH236" s="132"/>
      <c r="AI236" s="132"/>
      <c r="AJ236" s="132"/>
      <c r="AK236" s="132"/>
      <c r="AL236" s="111">
        <f t="shared" si="72"/>
        <v>1.7095871735364199E-3</v>
      </c>
      <c r="AM236" s="111"/>
      <c r="AN236" s="111"/>
      <c r="AO236" s="111"/>
      <c r="AP236" s="111">
        <f t="shared" si="68"/>
        <v>1.7095871735364199E-3</v>
      </c>
      <c r="AQ236" s="111"/>
      <c r="AR236" s="111">
        <f t="shared" si="87"/>
        <v>1.7095871735364199E-3</v>
      </c>
      <c r="AS236" s="111"/>
      <c r="AT236" s="111">
        <v>0</v>
      </c>
      <c r="AU236" s="111">
        <f t="shared" si="95"/>
        <v>1.7095871735364199E-3</v>
      </c>
      <c r="AV236" s="111"/>
      <c r="AW236" s="111"/>
      <c r="AX236" s="111"/>
      <c r="AY236" s="111"/>
      <c r="AZ236" s="111"/>
      <c r="BA236" s="111">
        <f t="shared" si="88"/>
        <v>0</v>
      </c>
      <c r="BB236" s="111"/>
      <c r="BC236" s="111"/>
      <c r="BD236" s="111"/>
      <c r="BE236" s="111"/>
      <c r="BF236" s="111"/>
      <c r="BG236" s="111"/>
      <c r="BH236" s="111">
        <f t="shared" si="85"/>
        <v>0</v>
      </c>
      <c r="BI236" s="111"/>
      <c r="BJ236" s="112">
        <f t="shared" ref="BJ236:BJ313" si="96">AC236/J236/L236/8*O236</f>
        <v>3.6765315559923011E-2</v>
      </c>
      <c r="BK236" s="134"/>
      <c r="BL236" s="134"/>
      <c r="BM236" s="135"/>
      <c r="BN236" s="135"/>
      <c r="BO236" s="135"/>
      <c r="BP236" s="135"/>
      <c r="BQ236" s="114">
        <f t="shared" si="73"/>
        <v>3.6765315559923011E-2</v>
      </c>
      <c r="BR236" s="114">
        <f t="shared" si="69"/>
        <v>4.2017503497054867E-2</v>
      </c>
      <c r="BS236" s="136"/>
      <c r="BT236" s="136"/>
      <c r="BU236" s="136"/>
      <c r="BV236" s="115">
        <f t="shared" si="70"/>
        <v>4.9020420746564014E-2</v>
      </c>
      <c r="BW236" s="115"/>
      <c r="BX236" s="116">
        <f t="shared" si="89"/>
        <v>7.5981652157174215E-2</v>
      </c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>
        <v>0</v>
      </c>
      <c r="CL236" s="116"/>
      <c r="CM236" s="119"/>
    </row>
    <row r="237" spans="1:92" s="120" customFormat="1" ht="25.5" x14ac:dyDescent="0.2">
      <c r="B237" s="99">
        <f t="shared" si="86"/>
        <v>227</v>
      </c>
      <c r="C237" s="122" t="s">
        <v>443</v>
      </c>
      <c r="D237" s="123" t="s">
        <v>444</v>
      </c>
      <c r="E237" s="122" t="s">
        <v>95</v>
      </c>
      <c r="F237" s="100" t="s">
        <v>134</v>
      </c>
      <c r="G237" s="124">
        <v>43525</v>
      </c>
      <c r="H237" s="124">
        <v>43525</v>
      </c>
      <c r="I237" s="125">
        <v>10000000</v>
      </c>
      <c r="J237" s="126">
        <v>7.7499999999999999E-2</v>
      </c>
      <c r="K237" s="105">
        <v>7.4999999999999997E-2</v>
      </c>
      <c r="L237" s="127">
        <v>0.9</v>
      </c>
      <c r="M237" s="128">
        <v>9</v>
      </c>
      <c r="N237" s="128"/>
      <c r="O237" s="127">
        <v>12</v>
      </c>
      <c r="P237" s="128">
        <f t="shared" si="79"/>
        <v>523125</v>
      </c>
      <c r="Q237" s="128">
        <f t="shared" si="76"/>
        <v>6066560.6589831896</v>
      </c>
      <c r="R237" s="128">
        <f t="shared" si="80"/>
        <v>317356.95447305811</v>
      </c>
      <c r="S237" s="128">
        <f t="shared" si="77"/>
        <v>205768.04552694189</v>
      </c>
      <c r="T237" s="129">
        <v>0.606656065898319</v>
      </c>
      <c r="U237" s="128"/>
      <c r="V237" s="127"/>
      <c r="W237" s="128">
        <f t="shared" si="74"/>
        <v>6066560.6589831896</v>
      </c>
      <c r="X237" s="128">
        <f t="shared" si="74"/>
        <v>317356.95447305811</v>
      </c>
      <c r="Y237" s="130">
        <f t="shared" si="75"/>
        <v>6066560.6589831896</v>
      </c>
      <c r="Z237" s="130">
        <f t="shared" si="75"/>
        <v>317356.95447305811</v>
      </c>
      <c r="AA237" s="130">
        <v>317356.95</v>
      </c>
      <c r="AB237" s="130"/>
      <c r="AC237" s="130">
        <f t="shared" si="81"/>
        <v>4.4730580993928015E-3</v>
      </c>
      <c r="AD237" s="131">
        <v>0</v>
      </c>
      <c r="AE237" s="131">
        <f t="shared" si="92"/>
        <v>8.5506486965692741E-2</v>
      </c>
      <c r="AF237" s="131"/>
      <c r="AG237" s="132"/>
      <c r="AH237" s="132"/>
      <c r="AI237" s="132"/>
      <c r="AJ237" s="132"/>
      <c r="AK237" s="132"/>
      <c r="AL237" s="111">
        <f t="shared" si="72"/>
        <v>4.4730580993928015E-3</v>
      </c>
      <c r="AM237" s="111"/>
      <c r="AN237" s="111"/>
      <c r="AO237" s="111"/>
      <c r="AP237" s="111">
        <f t="shared" si="68"/>
        <v>4.4730580993928015E-3</v>
      </c>
      <c r="AQ237" s="111"/>
      <c r="AR237" s="111">
        <f t="shared" si="87"/>
        <v>4.4730580993928015E-3</v>
      </c>
      <c r="AS237" s="111"/>
      <c r="AT237" s="111">
        <v>0</v>
      </c>
      <c r="AU237" s="111">
        <f t="shared" si="95"/>
        <v>4.4730580993928015E-3</v>
      </c>
      <c r="AV237" s="111"/>
      <c r="AW237" s="111"/>
      <c r="AX237" s="111"/>
      <c r="AY237" s="111"/>
      <c r="AZ237" s="111"/>
      <c r="BA237" s="111">
        <f t="shared" si="88"/>
        <v>0</v>
      </c>
      <c r="BB237" s="111"/>
      <c r="BC237" s="111"/>
      <c r="BD237" s="111"/>
      <c r="BE237" s="111"/>
      <c r="BF237" s="111"/>
      <c r="BG237" s="111"/>
      <c r="BH237" s="111">
        <f t="shared" si="85"/>
        <v>0</v>
      </c>
      <c r="BI237" s="111"/>
      <c r="BJ237" s="112">
        <f t="shared" si="96"/>
        <v>9.6194797836404333E-2</v>
      </c>
      <c r="BK237" s="134"/>
      <c r="BL237" s="134"/>
      <c r="BM237" s="135"/>
      <c r="BN237" s="135"/>
      <c r="BO237" s="135"/>
      <c r="BP237" s="135"/>
      <c r="BQ237" s="114">
        <f t="shared" si="73"/>
        <v>9.6194797836404333E-2</v>
      </c>
      <c r="BR237" s="114">
        <f t="shared" si="69"/>
        <v>0.10993691181303353</v>
      </c>
      <c r="BS237" s="136"/>
      <c r="BT237" s="136"/>
      <c r="BU237" s="136"/>
      <c r="BV237" s="115">
        <f t="shared" si="70"/>
        <v>0.12825973044853911</v>
      </c>
      <c r="BW237" s="115"/>
      <c r="BX237" s="116">
        <f t="shared" si="89"/>
        <v>0.19880258219523564</v>
      </c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>
        <v>0</v>
      </c>
      <c r="CL237" s="116"/>
      <c r="CM237" s="119"/>
    </row>
    <row r="238" spans="1:92" s="118" customFormat="1" ht="25.5" customHeight="1" x14ac:dyDescent="0.2">
      <c r="B238" s="99">
        <f t="shared" si="86"/>
        <v>228</v>
      </c>
      <c r="C238" s="100" t="s">
        <v>443</v>
      </c>
      <c r="D238" s="101" t="s">
        <v>444</v>
      </c>
      <c r="E238" s="100" t="s">
        <v>534</v>
      </c>
      <c r="F238" s="100" t="s">
        <v>134</v>
      </c>
      <c r="G238" s="103">
        <v>43525</v>
      </c>
      <c r="H238" s="103" t="s">
        <v>97</v>
      </c>
      <c r="I238" s="104">
        <v>5000000</v>
      </c>
      <c r="J238" s="105">
        <v>7.7499999999999999E-2</v>
      </c>
      <c r="K238" s="105">
        <v>7.4999999999999997E-2</v>
      </c>
      <c r="L238" s="106">
        <v>0.9</v>
      </c>
      <c r="M238" s="107">
        <v>9</v>
      </c>
      <c r="N238" s="107">
        <v>4</v>
      </c>
      <c r="O238" s="106">
        <v>12</v>
      </c>
      <c r="P238" s="107">
        <f t="shared" si="79"/>
        <v>261562.5</v>
      </c>
      <c r="Q238" s="107">
        <f t="shared" si="76"/>
        <v>3033280.3294915948</v>
      </c>
      <c r="R238" s="107">
        <f t="shared" si="80"/>
        <v>158678.47723652906</v>
      </c>
      <c r="S238" s="107">
        <f t="shared" si="77"/>
        <v>102884.02276347094</v>
      </c>
      <c r="T238" s="108">
        <v>0.606656065898319</v>
      </c>
      <c r="U238" s="107"/>
      <c r="V238" s="106"/>
      <c r="W238" s="107">
        <f t="shared" si="74"/>
        <v>3033280.3294915948</v>
      </c>
      <c r="X238" s="107">
        <f t="shared" si="74"/>
        <v>158678.47723652906</v>
      </c>
      <c r="Y238" s="109">
        <f t="shared" si="75"/>
        <v>3033280.3294915948</v>
      </c>
      <c r="Z238" s="109">
        <f t="shared" si="75"/>
        <v>158678.47723652906</v>
      </c>
      <c r="AA238" s="109">
        <v>20357.62</v>
      </c>
      <c r="AB238" s="109"/>
      <c r="AC238" s="109">
        <f t="shared" si="81"/>
        <v>138320.85723652906</v>
      </c>
      <c r="AD238" s="110">
        <v>0</v>
      </c>
      <c r="AE238" s="110">
        <f t="shared" si="92"/>
        <v>2644126.3032072457</v>
      </c>
      <c r="AF238" s="110"/>
      <c r="AG238" s="111"/>
      <c r="AH238" s="111"/>
      <c r="AI238" s="111"/>
      <c r="AJ238" s="111"/>
      <c r="AK238" s="111"/>
      <c r="AL238" s="111">
        <f t="shared" si="72"/>
        <v>138320.85723652906</v>
      </c>
      <c r="AM238" s="111"/>
      <c r="AN238" s="111"/>
      <c r="AO238" s="111"/>
      <c r="AP238" s="111">
        <f t="shared" si="68"/>
        <v>138320.85723652906</v>
      </c>
      <c r="AQ238" s="111"/>
      <c r="AR238" s="111">
        <f t="shared" si="87"/>
        <v>138320.85723652906</v>
      </c>
      <c r="AS238" s="111"/>
      <c r="AT238" s="111">
        <f>BY238*K238*L238*N238/O238</f>
        <v>89235</v>
      </c>
      <c r="AU238" s="111">
        <f t="shared" si="95"/>
        <v>49085.85723652906</v>
      </c>
      <c r="AV238" s="111"/>
      <c r="AW238" s="111">
        <v>89237.25</v>
      </c>
      <c r="AX238" s="111"/>
      <c r="AY238" s="111">
        <v>0</v>
      </c>
      <c r="AZ238" s="111"/>
      <c r="BA238" s="300">
        <f>CL238*7.25%*0.9*3.5/12</f>
        <v>190312.5</v>
      </c>
      <c r="BB238" s="111"/>
      <c r="BC238" s="111"/>
      <c r="BD238" s="111">
        <v>199504.11</v>
      </c>
      <c r="BE238" s="111"/>
      <c r="BF238" s="111"/>
      <c r="BG238" s="111"/>
      <c r="BH238" s="111">
        <f t="shared" si="85"/>
        <v>-9191.609999999986</v>
      </c>
      <c r="BI238" s="111"/>
      <c r="BJ238" s="112">
        <f t="shared" si="96"/>
        <v>2974642.0911081517</v>
      </c>
      <c r="BK238" s="112"/>
      <c r="BL238" s="112"/>
      <c r="BM238" s="113"/>
      <c r="BN238" s="113"/>
      <c r="BO238" s="113"/>
      <c r="BP238" s="113"/>
      <c r="BQ238" s="114">
        <f t="shared" si="73"/>
        <v>2974642.0911081517</v>
      </c>
      <c r="BR238" s="114">
        <f t="shared" si="69"/>
        <v>3399590.961266459</v>
      </c>
      <c r="BS238" s="98"/>
      <c r="BT238" s="98"/>
      <c r="BU238" s="98"/>
      <c r="BV238" s="115">
        <f t="shared" si="70"/>
        <v>3966189.4548108689</v>
      </c>
      <c r="BW238" s="115"/>
      <c r="BX238" s="116">
        <f t="shared" si="89"/>
        <v>6147593.6549568474</v>
      </c>
      <c r="BY238" s="116">
        <v>3966000</v>
      </c>
      <c r="BZ238" s="116"/>
      <c r="CA238" s="116">
        <v>3966100</v>
      </c>
      <c r="CB238" s="116"/>
      <c r="CC238" s="116"/>
      <c r="CD238" s="116">
        <v>0</v>
      </c>
      <c r="CE238" s="116"/>
      <c r="CF238" s="116"/>
      <c r="CG238" s="116">
        <v>12000000</v>
      </c>
      <c r="CH238" s="116"/>
      <c r="CI238" s="116"/>
      <c r="CJ238" s="116"/>
      <c r="CK238" s="116">
        <v>0</v>
      </c>
      <c r="CL238" s="116">
        <v>10000000</v>
      </c>
      <c r="CM238" s="119" t="s">
        <v>135</v>
      </c>
      <c r="CN238" s="120" t="s">
        <v>230</v>
      </c>
    </row>
    <row r="239" spans="1:92" s="118" customFormat="1" ht="27.75" customHeight="1" x14ac:dyDescent="0.2">
      <c r="B239" s="99">
        <f t="shared" si="86"/>
        <v>229</v>
      </c>
      <c r="C239" s="100" t="s">
        <v>443</v>
      </c>
      <c r="D239" s="101" t="s">
        <v>444</v>
      </c>
      <c r="E239" s="100" t="s">
        <v>161</v>
      </c>
      <c r="F239" s="100" t="s">
        <v>134</v>
      </c>
      <c r="G239" s="103"/>
      <c r="H239" s="103" t="s">
        <v>97</v>
      </c>
      <c r="I239" s="104"/>
      <c r="J239" s="105"/>
      <c r="K239" s="105">
        <v>7.4999999999999997E-2</v>
      </c>
      <c r="L239" s="106">
        <v>0.9</v>
      </c>
      <c r="M239" s="107">
        <v>9</v>
      </c>
      <c r="N239" s="107">
        <v>4</v>
      </c>
      <c r="O239" s="106">
        <v>12</v>
      </c>
      <c r="P239" s="107"/>
      <c r="Q239" s="107"/>
      <c r="R239" s="107"/>
      <c r="S239" s="107"/>
      <c r="T239" s="108"/>
      <c r="U239" s="107"/>
      <c r="V239" s="106"/>
      <c r="W239" s="107"/>
      <c r="X239" s="107"/>
      <c r="Y239" s="109"/>
      <c r="Z239" s="109"/>
      <c r="AA239" s="109"/>
      <c r="AB239" s="109"/>
      <c r="AC239" s="109"/>
      <c r="AD239" s="110"/>
      <c r="AE239" s="110"/>
      <c r="AF239" s="110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>
        <f t="shared" si="87"/>
        <v>0</v>
      </c>
      <c r="AS239" s="111"/>
      <c r="AT239" s="111"/>
      <c r="AU239" s="111">
        <f t="shared" si="95"/>
        <v>0</v>
      </c>
      <c r="AV239" s="111"/>
      <c r="AW239" s="111"/>
      <c r="AX239" s="111"/>
      <c r="AY239" s="111"/>
      <c r="AZ239" s="111"/>
      <c r="BA239" s="300">
        <f>CL239*7.25%*0.9*3.5/12</f>
        <v>76125</v>
      </c>
      <c r="BB239" s="111"/>
      <c r="BC239" s="111"/>
      <c r="BD239" s="111">
        <v>33250.68</v>
      </c>
      <c r="BE239" s="111"/>
      <c r="BF239" s="111"/>
      <c r="BG239" s="111"/>
      <c r="BH239" s="111">
        <f t="shared" si="85"/>
        <v>42874.32</v>
      </c>
      <c r="BI239" s="111"/>
      <c r="BJ239" s="112"/>
      <c r="BK239" s="112"/>
      <c r="BL239" s="112"/>
      <c r="BM239" s="113"/>
      <c r="BN239" s="113"/>
      <c r="BO239" s="113"/>
      <c r="BP239" s="113"/>
      <c r="BQ239" s="114"/>
      <c r="BR239" s="114"/>
      <c r="BS239" s="98"/>
      <c r="BT239" s="98"/>
      <c r="BU239" s="98"/>
      <c r="BV239" s="115"/>
      <c r="BW239" s="115"/>
      <c r="BX239" s="116">
        <f t="shared" si="89"/>
        <v>0</v>
      </c>
      <c r="BY239" s="116"/>
      <c r="BZ239" s="116"/>
      <c r="CA239" s="116"/>
      <c r="CB239" s="116"/>
      <c r="CC239" s="116"/>
      <c r="CD239" s="116"/>
      <c r="CE239" s="116"/>
      <c r="CF239" s="116"/>
      <c r="CG239" s="116">
        <v>2000000</v>
      </c>
      <c r="CH239" s="116"/>
      <c r="CI239" s="116"/>
      <c r="CJ239" s="116"/>
      <c r="CK239" s="116">
        <v>0</v>
      </c>
      <c r="CL239" s="116">
        <v>4000000</v>
      </c>
      <c r="CM239" s="119" t="s">
        <v>135</v>
      </c>
      <c r="CN239" s="120" t="s">
        <v>109</v>
      </c>
    </row>
    <row r="240" spans="1:92" s="118" customFormat="1" ht="25.5" x14ac:dyDescent="0.2">
      <c r="A240" s="118">
        <f>A236+1</f>
        <v>117</v>
      </c>
      <c r="B240" s="99">
        <f t="shared" si="86"/>
        <v>230</v>
      </c>
      <c r="C240" s="100" t="s">
        <v>359</v>
      </c>
      <c r="D240" s="101" t="s">
        <v>445</v>
      </c>
      <c r="E240" s="100" t="s">
        <v>133</v>
      </c>
      <c r="F240" s="100" t="s">
        <v>96</v>
      </c>
      <c r="G240" s="103"/>
      <c r="H240" s="103" t="s">
        <v>97</v>
      </c>
      <c r="I240" s="104"/>
      <c r="J240" s="105"/>
      <c r="K240" s="105">
        <v>7.4999999999999997E-2</v>
      </c>
      <c r="L240" s="106">
        <v>0.9</v>
      </c>
      <c r="M240" s="107">
        <v>9</v>
      </c>
      <c r="N240" s="107">
        <v>4</v>
      </c>
      <c r="O240" s="106">
        <v>12</v>
      </c>
      <c r="P240" s="107"/>
      <c r="Q240" s="107">
        <f t="shared" si="76"/>
        <v>0</v>
      </c>
      <c r="R240" s="107"/>
      <c r="S240" s="107"/>
      <c r="T240" s="108"/>
      <c r="U240" s="107"/>
      <c r="V240" s="106"/>
      <c r="W240" s="107">
        <f t="shared" si="74"/>
        <v>0</v>
      </c>
      <c r="X240" s="107"/>
      <c r="Y240" s="109">
        <f t="shared" si="75"/>
        <v>0</v>
      </c>
      <c r="Z240" s="109"/>
      <c r="AA240" s="109"/>
      <c r="AB240" s="109"/>
      <c r="AC240" s="109"/>
      <c r="AD240" s="110"/>
      <c r="AE240" s="110"/>
      <c r="AF240" s="110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>
        <f t="shared" si="87"/>
        <v>0</v>
      </c>
      <c r="AS240" s="111"/>
      <c r="AT240" s="111">
        <v>0</v>
      </c>
      <c r="AU240" s="111">
        <f t="shared" si="95"/>
        <v>0</v>
      </c>
      <c r="AV240" s="111"/>
      <c r="AW240" s="111"/>
      <c r="AX240" s="111"/>
      <c r="AY240" s="111">
        <v>225000</v>
      </c>
      <c r="AZ240" s="111"/>
      <c r="BA240" s="111">
        <f t="shared" si="88"/>
        <v>225000</v>
      </c>
      <c r="BB240" s="111"/>
      <c r="BC240" s="111"/>
      <c r="BD240" s="111">
        <v>149628.07999999999</v>
      </c>
      <c r="BE240" s="111"/>
      <c r="BF240" s="111"/>
      <c r="BG240" s="111"/>
      <c r="BH240" s="111">
        <f t="shared" si="85"/>
        <v>75371.920000000013</v>
      </c>
      <c r="BI240" s="111">
        <v>0</v>
      </c>
      <c r="BJ240" s="112"/>
      <c r="BK240" s="112"/>
      <c r="BL240" s="112"/>
      <c r="BM240" s="113"/>
      <c r="BN240" s="113"/>
      <c r="BO240" s="113"/>
      <c r="BP240" s="113"/>
      <c r="BQ240" s="114"/>
      <c r="BR240" s="114"/>
      <c r="BS240" s="98"/>
      <c r="BT240" s="98"/>
      <c r="BU240" s="98"/>
      <c r="BV240" s="115"/>
      <c r="BW240" s="115"/>
      <c r="BX240" s="116">
        <f t="shared" si="89"/>
        <v>0</v>
      </c>
      <c r="BY240" s="116"/>
      <c r="BZ240" s="116"/>
      <c r="CA240" s="116"/>
      <c r="CB240" s="116"/>
      <c r="CC240" s="116"/>
      <c r="CD240" s="116">
        <v>10000000</v>
      </c>
      <c r="CE240" s="116"/>
      <c r="CF240" s="116"/>
      <c r="CG240" s="116">
        <v>9000000</v>
      </c>
      <c r="CH240" s="116"/>
      <c r="CI240" s="116"/>
      <c r="CJ240" s="116"/>
      <c r="CK240" s="116">
        <v>0</v>
      </c>
      <c r="CL240" s="116">
        <v>10000000</v>
      </c>
      <c r="CM240" s="119" t="s">
        <v>135</v>
      </c>
      <c r="CN240" s="120" t="s">
        <v>230</v>
      </c>
    </row>
    <row r="241" spans="1:92" s="118" customFormat="1" ht="25.5" x14ac:dyDescent="0.2">
      <c r="B241" s="99">
        <f t="shared" si="86"/>
        <v>231</v>
      </c>
      <c r="C241" s="100" t="s">
        <v>359</v>
      </c>
      <c r="D241" s="101" t="s">
        <v>445</v>
      </c>
      <c r="E241" s="100" t="s">
        <v>161</v>
      </c>
      <c r="F241" s="100" t="s">
        <v>96</v>
      </c>
      <c r="G241" s="103"/>
      <c r="H241" s="103" t="s">
        <v>97</v>
      </c>
      <c r="I241" s="104"/>
      <c r="J241" s="105"/>
      <c r="K241" s="105">
        <v>7.4999999999999997E-2</v>
      </c>
      <c r="L241" s="106">
        <v>0.9</v>
      </c>
      <c r="M241" s="107">
        <v>9</v>
      </c>
      <c r="N241" s="107">
        <v>4</v>
      </c>
      <c r="O241" s="106">
        <v>12</v>
      </c>
      <c r="P241" s="107"/>
      <c r="Q241" s="107"/>
      <c r="R241" s="107"/>
      <c r="S241" s="107"/>
      <c r="T241" s="108"/>
      <c r="U241" s="107"/>
      <c r="V241" s="106"/>
      <c r="W241" s="107"/>
      <c r="X241" s="107"/>
      <c r="Y241" s="109"/>
      <c r="Z241" s="109"/>
      <c r="AA241" s="109"/>
      <c r="AB241" s="109"/>
      <c r="AC241" s="109"/>
      <c r="AD241" s="110"/>
      <c r="AE241" s="110"/>
      <c r="AF241" s="110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>
        <f t="shared" si="87"/>
        <v>0</v>
      </c>
      <c r="AS241" s="111"/>
      <c r="AT241" s="111">
        <v>0</v>
      </c>
      <c r="AU241" s="111">
        <f t="shared" si="95"/>
        <v>0</v>
      </c>
      <c r="AV241" s="111"/>
      <c r="AW241" s="111"/>
      <c r="AX241" s="111"/>
      <c r="AY241" s="111">
        <v>90000</v>
      </c>
      <c r="AZ241" s="111"/>
      <c r="BA241" s="111">
        <f t="shared" si="88"/>
        <v>90000</v>
      </c>
      <c r="BB241" s="111"/>
      <c r="BC241" s="111"/>
      <c r="BD241" s="111">
        <v>83126.710000000006</v>
      </c>
      <c r="BE241" s="111"/>
      <c r="BF241" s="111"/>
      <c r="BG241" s="111"/>
      <c r="BH241" s="111">
        <f t="shared" si="85"/>
        <v>6873.2899999999936</v>
      </c>
      <c r="BI241" s="111">
        <v>0</v>
      </c>
      <c r="BJ241" s="112"/>
      <c r="BK241" s="112"/>
      <c r="BL241" s="112"/>
      <c r="BM241" s="113"/>
      <c r="BN241" s="113"/>
      <c r="BO241" s="113"/>
      <c r="BP241" s="113"/>
      <c r="BQ241" s="114"/>
      <c r="BR241" s="114"/>
      <c r="BS241" s="98"/>
      <c r="BT241" s="98"/>
      <c r="BU241" s="98"/>
      <c r="BV241" s="115"/>
      <c r="BW241" s="115"/>
      <c r="BX241" s="116">
        <f t="shared" si="89"/>
        <v>0</v>
      </c>
      <c r="BY241" s="116"/>
      <c r="BZ241" s="116"/>
      <c r="CA241" s="116"/>
      <c r="CB241" s="116"/>
      <c r="CC241" s="116"/>
      <c r="CD241" s="116">
        <v>4000000</v>
      </c>
      <c r="CE241" s="116"/>
      <c r="CF241" s="116"/>
      <c r="CG241" s="116">
        <v>5000000</v>
      </c>
      <c r="CH241" s="116"/>
      <c r="CI241" s="116"/>
      <c r="CJ241" s="116"/>
      <c r="CK241" s="116">
        <v>0</v>
      </c>
      <c r="CL241" s="116">
        <v>4000000</v>
      </c>
      <c r="CM241" s="119" t="s">
        <v>135</v>
      </c>
      <c r="CN241" s="120" t="s">
        <v>109</v>
      </c>
    </row>
    <row r="242" spans="1:92" s="120" customFormat="1" ht="28.5" customHeight="1" x14ac:dyDescent="0.2">
      <c r="A242" s="120">
        <f>A240+1</f>
        <v>118</v>
      </c>
      <c r="B242" s="99">
        <f t="shared" si="86"/>
        <v>232</v>
      </c>
      <c r="C242" s="122" t="s">
        <v>446</v>
      </c>
      <c r="D242" s="123" t="s">
        <v>447</v>
      </c>
      <c r="E242" s="122" t="s">
        <v>95</v>
      </c>
      <c r="F242" s="100" t="s">
        <v>96</v>
      </c>
      <c r="G242" s="124">
        <v>43525</v>
      </c>
      <c r="H242" s="124">
        <v>43525</v>
      </c>
      <c r="I242" s="125">
        <v>3000000</v>
      </c>
      <c r="J242" s="126">
        <v>7.7499999999999999E-2</v>
      </c>
      <c r="K242" s="105">
        <v>7.4999999999999997E-2</v>
      </c>
      <c r="L242" s="127">
        <v>0.9</v>
      </c>
      <c r="M242" s="128">
        <v>9</v>
      </c>
      <c r="N242" s="128"/>
      <c r="O242" s="127">
        <v>12</v>
      </c>
      <c r="P242" s="128">
        <f t="shared" si="79"/>
        <v>156937.5</v>
      </c>
      <c r="Q242" s="128">
        <f t="shared" si="76"/>
        <v>1819968.197694957</v>
      </c>
      <c r="R242" s="128">
        <f t="shared" si="80"/>
        <v>95207.086341917442</v>
      </c>
      <c r="S242" s="128">
        <f t="shared" si="77"/>
        <v>61730.413658082558</v>
      </c>
      <c r="T242" s="129">
        <v>0.606656065898319</v>
      </c>
      <c r="U242" s="172">
        <v>2000000</v>
      </c>
      <c r="V242" s="141">
        <v>116250</v>
      </c>
      <c r="W242" s="128">
        <f t="shared" si="74"/>
        <v>-180031.80230504298</v>
      </c>
      <c r="X242" s="128">
        <f t="shared" si="74"/>
        <v>-21042.913658082558</v>
      </c>
      <c r="Y242" s="130">
        <f t="shared" si="75"/>
        <v>-180031.80230504298</v>
      </c>
      <c r="Z242" s="130">
        <f t="shared" si="75"/>
        <v>-21042.913658082558</v>
      </c>
      <c r="AA242" s="130"/>
      <c r="AB242" s="130"/>
      <c r="AC242" s="130">
        <f t="shared" si="81"/>
        <v>-21042.913658082558</v>
      </c>
      <c r="AD242" s="131">
        <v>-362028.62207453861</v>
      </c>
      <c r="AE242" s="131">
        <f t="shared" si="92"/>
        <v>-402254.02452726517</v>
      </c>
      <c r="AF242" s="131"/>
      <c r="AG242" s="132"/>
      <c r="AH242" s="132"/>
      <c r="AI242" s="132"/>
      <c r="AJ242" s="132"/>
      <c r="AK242" s="132"/>
      <c r="AL242" s="111">
        <f t="shared" si="72"/>
        <v>-21042.913658082558</v>
      </c>
      <c r="AM242" s="111"/>
      <c r="AN242" s="111"/>
      <c r="AO242" s="111"/>
      <c r="AP242" s="111">
        <f t="shared" si="68"/>
        <v>-21042.913658082558</v>
      </c>
      <c r="AQ242" s="111"/>
      <c r="AR242" s="111">
        <f t="shared" si="87"/>
        <v>-21042.913658082558</v>
      </c>
      <c r="AS242" s="111"/>
      <c r="AT242" s="111">
        <v>0</v>
      </c>
      <c r="AU242" s="111"/>
      <c r="AV242" s="111"/>
      <c r="AW242" s="111"/>
      <c r="AX242" s="111"/>
      <c r="AY242" s="111"/>
      <c r="AZ242" s="111"/>
      <c r="BA242" s="111">
        <f t="shared" si="88"/>
        <v>0</v>
      </c>
      <c r="BB242" s="111"/>
      <c r="BC242" s="111"/>
      <c r="BD242" s="111"/>
      <c r="BE242" s="111"/>
      <c r="BF242" s="111"/>
      <c r="BG242" s="111"/>
      <c r="BH242" s="111">
        <f t="shared" si="85"/>
        <v>0</v>
      </c>
      <c r="BI242" s="111"/>
      <c r="BJ242" s="133">
        <f t="shared" si="96"/>
        <v>-452535.77759317332</v>
      </c>
      <c r="BK242" s="134"/>
      <c r="BL242" s="134"/>
      <c r="BM242" s="135"/>
      <c r="BN242" s="135"/>
      <c r="BO242" s="135"/>
      <c r="BP242" s="135"/>
      <c r="BQ242" s="114">
        <f t="shared" si="73"/>
        <v>-452535.77759317332</v>
      </c>
      <c r="BR242" s="114">
        <f t="shared" si="69"/>
        <v>-517183.74582076946</v>
      </c>
      <c r="BS242" s="136"/>
      <c r="BT242" s="136"/>
      <c r="BU242" s="136"/>
      <c r="BV242" s="115">
        <f t="shared" si="70"/>
        <v>-603381.03679089772</v>
      </c>
      <c r="BW242" s="115"/>
      <c r="BX242" s="116">
        <f t="shared" si="89"/>
        <v>-935240.60702589131</v>
      </c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>
        <v>0</v>
      </c>
      <c r="CL242" s="116"/>
      <c r="CM242" s="119"/>
    </row>
    <row r="243" spans="1:92" s="120" customFormat="1" ht="29.25" customHeight="1" x14ac:dyDescent="0.2">
      <c r="B243" s="99">
        <f t="shared" si="86"/>
        <v>233</v>
      </c>
      <c r="C243" s="122" t="s">
        <v>446</v>
      </c>
      <c r="D243" s="123" t="s">
        <v>447</v>
      </c>
      <c r="E243" s="122"/>
      <c r="F243" s="100" t="s">
        <v>96</v>
      </c>
      <c r="G243" s="124"/>
      <c r="H243" s="124" t="s">
        <v>142</v>
      </c>
      <c r="I243" s="125">
        <v>0</v>
      </c>
      <c r="J243" s="126"/>
      <c r="K243" s="105">
        <v>7.2499999999999995E-2</v>
      </c>
      <c r="L243" s="127">
        <v>0.9</v>
      </c>
      <c r="M243" s="128">
        <v>9</v>
      </c>
      <c r="N243" s="128">
        <v>0</v>
      </c>
      <c r="O243" s="127">
        <v>12</v>
      </c>
      <c r="P243" s="128"/>
      <c r="Q243" s="128"/>
      <c r="R243" s="128"/>
      <c r="S243" s="128"/>
      <c r="T243" s="129"/>
      <c r="U243" s="172"/>
      <c r="V243" s="141"/>
      <c r="W243" s="128"/>
      <c r="X243" s="128"/>
      <c r="Y243" s="130"/>
      <c r="Z243" s="130"/>
      <c r="AA243" s="130"/>
      <c r="AB243" s="130"/>
      <c r="AC243" s="130"/>
      <c r="AD243" s="131"/>
      <c r="AE243" s="131"/>
      <c r="AF243" s="131"/>
      <c r="AG243" s="132"/>
      <c r="AH243" s="132"/>
      <c r="AI243" s="132"/>
      <c r="AJ243" s="132"/>
      <c r="AK243" s="132"/>
      <c r="AL243" s="111"/>
      <c r="AM243" s="111"/>
      <c r="AN243" s="111"/>
      <c r="AO243" s="111"/>
      <c r="AP243" s="111"/>
      <c r="AQ243" s="111"/>
      <c r="AR243" s="111">
        <f t="shared" si="87"/>
        <v>0</v>
      </c>
      <c r="AS243" s="111"/>
      <c r="AT243" s="111">
        <v>0</v>
      </c>
      <c r="AU243" s="111">
        <f>AR243-AT243</f>
        <v>0</v>
      </c>
      <c r="AV243" s="111"/>
      <c r="AW243" s="111"/>
      <c r="AX243" s="111"/>
      <c r="AY243" s="111"/>
      <c r="AZ243" s="111"/>
      <c r="BA243" s="300">
        <f>CL243*7.25%*0.9*3.5/12</f>
        <v>38062.5</v>
      </c>
      <c r="BB243" s="111"/>
      <c r="BC243" s="111"/>
      <c r="BD243" s="111"/>
      <c r="BE243" s="111"/>
      <c r="BF243" s="111"/>
      <c r="BG243" s="111"/>
      <c r="BH243" s="111">
        <f t="shared" si="85"/>
        <v>38062.5</v>
      </c>
      <c r="BI243" s="111">
        <v>0</v>
      </c>
      <c r="BJ243" s="133"/>
      <c r="BK243" s="134"/>
      <c r="BL243" s="134"/>
      <c r="BM243" s="135"/>
      <c r="BN243" s="135"/>
      <c r="BO243" s="135"/>
      <c r="BP243" s="135"/>
      <c r="BQ243" s="114"/>
      <c r="BR243" s="114"/>
      <c r="BS243" s="136"/>
      <c r="BT243" s="136"/>
      <c r="BU243" s="136"/>
      <c r="BV243" s="115"/>
      <c r="BW243" s="115"/>
      <c r="BX243" s="116">
        <f t="shared" si="89"/>
        <v>0</v>
      </c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>
        <v>0</v>
      </c>
      <c r="CL243" s="116">
        <v>2000000</v>
      </c>
      <c r="CM243" s="119" t="s">
        <v>105</v>
      </c>
      <c r="CN243" s="120" t="s">
        <v>106</v>
      </c>
    </row>
    <row r="244" spans="1:92" s="120" customFormat="1" ht="25.5" x14ac:dyDescent="0.2">
      <c r="A244" s="120">
        <f>A242+1</f>
        <v>119</v>
      </c>
      <c r="B244" s="99">
        <f t="shared" si="86"/>
        <v>234</v>
      </c>
      <c r="C244" s="122" t="s">
        <v>448</v>
      </c>
      <c r="D244" s="123" t="s">
        <v>449</v>
      </c>
      <c r="E244" s="122" t="s">
        <v>95</v>
      </c>
      <c r="F244" s="100" t="s">
        <v>96</v>
      </c>
      <c r="G244" s="124">
        <v>43525</v>
      </c>
      <c r="H244" s="124">
        <v>43525</v>
      </c>
      <c r="I244" s="125">
        <v>5000000</v>
      </c>
      <c r="J244" s="126">
        <v>7.7499999999999999E-2</v>
      </c>
      <c r="K244" s="105">
        <v>7.4999999999999997E-2</v>
      </c>
      <c r="L244" s="127">
        <v>0.9</v>
      </c>
      <c r="M244" s="128">
        <v>9</v>
      </c>
      <c r="N244" s="128"/>
      <c r="O244" s="127">
        <v>12</v>
      </c>
      <c r="P244" s="128">
        <f t="shared" si="79"/>
        <v>261562.5</v>
      </c>
      <c r="Q244" s="128">
        <f t="shared" si="76"/>
        <v>3033280.3294915948</v>
      </c>
      <c r="R244" s="128">
        <f t="shared" si="80"/>
        <v>158678.47723652906</v>
      </c>
      <c r="S244" s="128">
        <f t="shared" si="77"/>
        <v>102884.02276347094</v>
      </c>
      <c r="T244" s="129">
        <v>0.606656065898319</v>
      </c>
      <c r="U244" s="172">
        <v>5000000</v>
      </c>
      <c r="V244" s="141">
        <v>290625</v>
      </c>
      <c r="W244" s="128">
        <f t="shared" si="74"/>
        <v>-1966719.6705084052</v>
      </c>
      <c r="X244" s="128">
        <f t="shared" si="74"/>
        <v>-131946.52276347094</v>
      </c>
      <c r="Y244" s="130">
        <f t="shared" si="75"/>
        <v>-1966719.6705084052</v>
      </c>
      <c r="Z244" s="130">
        <f t="shared" si="75"/>
        <v>-131946.52276347094</v>
      </c>
      <c r="AA244" s="130"/>
      <c r="AB244" s="130"/>
      <c r="AC244" s="130">
        <f t="shared" si="81"/>
        <v>-131946.52276347094</v>
      </c>
      <c r="AD244" s="131">
        <v>-2270047.7034575646</v>
      </c>
      <c r="AE244" s="131">
        <f t="shared" si="92"/>
        <v>-2522275.2260639607</v>
      </c>
      <c r="AF244" s="131"/>
      <c r="AG244" s="132"/>
      <c r="AH244" s="132"/>
      <c r="AI244" s="132"/>
      <c r="AJ244" s="132"/>
      <c r="AK244" s="132"/>
      <c r="AL244" s="111">
        <f t="shared" si="72"/>
        <v>-131946.52276347094</v>
      </c>
      <c r="AM244" s="111"/>
      <c r="AN244" s="111"/>
      <c r="AO244" s="111"/>
      <c r="AP244" s="111">
        <f t="shared" si="68"/>
        <v>-131946.52276347094</v>
      </c>
      <c r="AQ244" s="111"/>
      <c r="AR244" s="111">
        <f t="shared" si="87"/>
        <v>-131946.52276347094</v>
      </c>
      <c r="AS244" s="111"/>
      <c r="AT244" s="111">
        <v>0</v>
      </c>
      <c r="AU244" s="111"/>
      <c r="AV244" s="111"/>
      <c r="AW244" s="111"/>
      <c r="AX244" s="111"/>
      <c r="AY244" s="111"/>
      <c r="AZ244" s="111"/>
      <c r="BA244" s="111">
        <f t="shared" si="88"/>
        <v>0</v>
      </c>
      <c r="BB244" s="111"/>
      <c r="BC244" s="111"/>
      <c r="BD244" s="111"/>
      <c r="BE244" s="111"/>
      <c r="BF244" s="111"/>
      <c r="BG244" s="111"/>
      <c r="BH244" s="111">
        <f t="shared" si="85"/>
        <v>0</v>
      </c>
      <c r="BI244" s="111"/>
      <c r="BJ244" s="133">
        <f t="shared" si="96"/>
        <v>-2837559.6293219561</v>
      </c>
      <c r="BK244" s="134"/>
      <c r="BL244" s="134"/>
      <c r="BM244" s="135"/>
      <c r="BN244" s="135"/>
      <c r="BO244" s="135"/>
      <c r="BP244" s="135"/>
      <c r="BQ244" s="114">
        <f t="shared" si="73"/>
        <v>-2837559.6293219561</v>
      </c>
      <c r="BR244" s="114">
        <f t="shared" si="69"/>
        <v>-3242925.2906536642</v>
      </c>
      <c r="BS244" s="136"/>
      <c r="BT244" s="136"/>
      <c r="BU244" s="136"/>
      <c r="BV244" s="115">
        <f t="shared" si="70"/>
        <v>-3783412.8390959408</v>
      </c>
      <c r="BW244" s="115"/>
      <c r="BX244" s="116">
        <f t="shared" si="89"/>
        <v>-5864289.9005987085</v>
      </c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>
        <v>0</v>
      </c>
      <c r="CL244" s="116"/>
      <c r="CM244" s="119"/>
    </row>
    <row r="245" spans="1:92" s="174" customFormat="1" ht="29.25" customHeight="1" x14ac:dyDescent="0.2">
      <c r="B245" s="145">
        <f t="shared" si="86"/>
        <v>235</v>
      </c>
      <c r="C245" s="204" t="s">
        <v>448</v>
      </c>
      <c r="D245" s="224" t="s">
        <v>449</v>
      </c>
      <c r="E245" s="204" t="s">
        <v>95</v>
      </c>
      <c r="F245" s="148" t="s">
        <v>96</v>
      </c>
      <c r="G245" s="205"/>
      <c r="H245" s="205" t="s">
        <v>148</v>
      </c>
      <c r="I245" s="206">
        <v>0</v>
      </c>
      <c r="J245" s="207"/>
      <c r="K245" s="151">
        <v>7.2499999999999995E-2</v>
      </c>
      <c r="L245" s="220">
        <v>0.9</v>
      </c>
      <c r="M245" s="208">
        <v>9</v>
      </c>
      <c r="N245" s="208">
        <v>2.5</v>
      </c>
      <c r="O245" s="220">
        <v>12</v>
      </c>
      <c r="P245" s="208"/>
      <c r="Q245" s="208"/>
      <c r="R245" s="208"/>
      <c r="S245" s="208"/>
      <c r="T245" s="209"/>
      <c r="U245" s="222"/>
      <c r="V245" s="223"/>
      <c r="W245" s="208"/>
      <c r="X245" s="208"/>
      <c r="Y245" s="210"/>
      <c r="Z245" s="210"/>
      <c r="AA245" s="210"/>
      <c r="AB245" s="210"/>
      <c r="AC245" s="210"/>
      <c r="AD245" s="211"/>
      <c r="AE245" s="211"/>
      <c r="AF245" s="211"/>
      <c r="AG245" s="198"/>
      <c r="AH245" s="198"/>
      <c r="AI245" s="198"/>
      <c r="AJ245" s="198"/>
      <c r="AK245" s="198"/>
      <c r="AL245" s="83"/>
      <c r="AM245" s="83"/>
      <c r="AN245" s="83"/>
      <c r="AO245" s="83"/>
      <c r="AP245" s="83"/>
      <c r="AQ245" s="83"/>
      <c r="AR245" s="83">
        <f t="shared" si="87"/>
        <v>0</v>
      </c>
      <c r="AS245" s="83"/>
      <c r="AT245" s="83">
        <v>0</v>
      </c>
      <c r="AU245" s="83">
        <f>AR245-AT245</f>
        <v>0</v>
      </c>
      <c r="AV245" s="83"/>
      <c r="AW245" s="83"/>
      <c r="AX245" s="83"/>
      <c r="AY245" s="83"/>
      <c r="AZ245" s="83"/>
      <c r="BA245" s="368">
        <f>CL245*7.25%*0.9*3.5/12</f>
        <v>57093.749999999993</v>
      </c>
      <c r="BB245" s="83"/>
      <c r="BC245" s="83"/>
      <c r="BD245" s="83"/>
      <c r="BE245" s="83"/>
      <c r="BF245" s="83"/>
      <c r="BG245" s="83"/>
      <c r="BH245" s="83">
        <f t="shared" si="85"/>
        <v>57093.749999999993</v>
      </c>
      <c r="BI245" s="83">
        <f>CK245*K245*L245*N245/O245</f>
        <v>27187.5</v>
      </c>
      <c r="BJ245" s="212"/>
      <c r="BK245" s="213"/>
      <c r="BL245" s="213"/>
      <c r="BM245" s="214"/>
      <c r="BN245" s="214"/>
      <c r="BO245" s="214"/>
      <c r="BP245" s="214"/>
      <c r="BQ245" s="160"/>
      <c r="BR245" s="160"/>
      <c r="BS245" s="215"/>
      <c r="BT245" s="215"/>
      <c r="BU245" s="215"/>
      <c r="BV245" s="162"/>
      <c r="BW245" s="162"/>
      <c r="BX245" s="95">
        <f t="shared" si="89"/>
        <v>0</v>
      </c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>
        <v>2000000</v>
      </c>
      <c r="CL245" s="95">
        <v>3000000</v>
      </c>
      <c r="CM245" s="216" t="s">
        <v>105</v>
      </c>
      <c r="CN245" s="174" t="s">
        <v>106</v>
      </c>
    </row>
    <row r="246" spans="1:92" s="120" customFormat="1" ht="25.5" x14ac:dyDescent="0.2">
      <c r="A246" s="120">
        <f>A244+1</f>
        <v>120</v>
      </c>
      <c r="B246" s="99">
        <f t="shared" si="86"/>
        <v>236</v>
      </c>
      <c r="C246" s="122" t="s">
        <v>450</v>
      </c>
      <c r="D246" s="123" t="s">
        <v>451</v>
      </c>
      <c r="E246" s="122" t="s">
        <v>95</v>
      </c>
      <c r="F246" s="100" t="s">
        <v>134</v>
      </c>
      <c r="G246" s="124">
        <v>43497</v>
      </c>
      <c r="H246" s="124">
        <v>43497</v>
      </c>
      <c r="I246" s="125">
        <v>15000000</v>
      </c>
      <c r="J246" s="126">
        <v>7.7499999999999999E-2</v>
      </c>
      <c r="K246" s="105">
        <v>7.4999999999999997E-2</v>
      </c>
      <c r="L246" s="127">
        <v>0.9</v>
      </c>
      <c r="M246" s="128">
        <v>10</v>
      </c>
      <c r="N246" s="128"/>
      <c r="O246" s="127">
        <v>12</v>
      </c>
      <c r="P246" s="128">
        <f t="shared" si="79"/>
        <v>871875</v>
      </c>
      <c r="Q246" s="128">
        <f t="shared" si="76"/>
        <v>9099840.9884747844</v>
      </c>
      <c r="R246" s="128">
        <f t="shared" si="80"/>
        <v>528928.25745509693</v>
      </c>
      <c r="S246" s="128">
        <f t="shared" si="77"/>
        <v>342946.74254490307</v>
      </c>
      <c r="T246" s="129">
        <v>0.606656065898319</v>
      </c>
      <c r="U246" s="172">
        <v>15000000</v>
      </c>
      <c r="V246" s="141">
        <v>871875</v>
      </c>
      <c r="W246" s="128">
        <f t="shared" si="74"/>
        <v>-5900159.0115252156</v>
      </c>
      <c r="X246" s="128">
        <f t="shared" si="74"/>
        <v>-342946.74254490307</v>
      </c>
      <c r="Y246" s="130">
        <f t="shared" si="75"/>
        <v>-5900159.0115252156</v>
      </c>
      <c r="Z246" s="130">
        <f t="shared" si="75"/>
        <v>-342946.74254490307</v>
      </c>
      <c r="AA246" s="130"/>
      <c r="AB246" s="130"/>
      <c r="AC246" s="130">
        <f t="shared" si="81"/>
        <v>-342946.74254490307</v>
      </c>
      <c r="AD246" s="131">
        <v>-5900159.0115252137</v>
      </c>
      <c r="AE246" s="131">
        <f t="shared" si="92"/>
        <v>-6555732.2350280145</v>
      </c>
      <c r="AF246" s="131"/>
      <c r="AG246" s="132"/>
      <c r="AH246" s="132"/>
      <c r="AI246" s="132"/>
      <c r="AJ246" s="132"/>
      <c r="AK246" s="132"/>
      <c r="AL246" s="111">
        <f t="shared" si="72"/>
        <v>-342946.74254490307</v>
      </c>
      <c r="AM246" s="111"/>
      <c r="AN246" s="111"/>
      <c r="AO246" s="111"/>
      <c r="AP246" s="111">
        <f t="shared" si="68"/>
        <v>-342946.74254490307</v>
      </c>
      <c r="AQ246" s="111"/>
      <c r="AR246" s="111">
        <f t="shared" si="87"/>
        <v>-342946.74254490307</v>
      </c>
      <c r="AS246" s="111"/>
      <c r="AT246" s="111">
        <v>0</v>
      </c>
      <c r="AU246" s="111"/>
      <c r="AV246" s="111"/>
      <c r="AW246" s="111"/>
      <c r="AX246" s="111"/>
      <c r="AY246" s="111"/>
      <c r="AZ246" s="111"/>
      <c r="BA246" s="111">
        <f t="shared" si="88"/>
        <v>0</v>
      </c>
      <c r="BB246" s="111"/>
      <c r="BC246" s="111"/>
      <c r="BD246" s="111"/>
      <c r="BE246" s="111"/>
      <c r="BF246" s="111"/>
      <c r="BG246" s="111"/>
      <c r="BH246" s="111">
        <f t="shared" si="85"/>
        <v>0</v>
      </c>
      <c r="BI246" s="111"/>
      <c r="BJ246" s="133">
        <f t="shared" si="96"/>
        <v>-7375198.7644065171</v>
      </c>
      <c r="BK246" s="134"/>
      <c r="BL246" s="134"/>
      <c r="BM246" s="135"/>
      <c r="BN246" s="135"/>
      <c r="BO246" s="135"/>
      <c r="BP246" s="135"/>
      <c r="BQ246" s="114">
        <f t="shared" si="73"/>
        <v>-7375198.7644065171</v>
      </c>
      <c r="BR246" s="114">
        <f t="shared" si="69"/>
        <v>-8428798.5878931619</v>
      </c>
      <c r="BS246" s="136"/>
      <c r="BT246" s="136"/>
      <c r="BU246" s="136"/>
      <c r="BV246" s="115">
        <f t="shared" si="70"/>
        <v>-9833598.3525420222</v>
      </c>
      <c r="BW246" s="115"/>
      <c r="BX246" s="116">
        <f t="shared" si="89"/>
        <v>-15242077.446440138</v>
      </c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>
        <v>0</v>
      </c>
      <c r="CL246" s="116"/>
      <c r="CM246" s="119"/>
    </row>
    <row r="247" spans="1:92" s="174" customFormat="1" ht="21.75" customHeight="1" x14ac:dyDescent="0.2">
      <c r="B247" s="145">
        <f t="shared" si="86"/>
        <v>237</v>
      </c>
      <c r="C247" s="204" t="s">
        <v>450</v>
      </c>
      <c r="D247" s="224" t="s">
        <v>451</v>
      </c>
      <c r="E247" s="204" t="s">
        <v>95</v>
      </c>
      <c r="F247" s="148" t="s">
        <v>134</v>
      </c>
      <c r="G247" s="205"/>
      <c r="H247" s="205" t="s">
        <v>97</v>
      </c>
      <c r="I247" s="206">
        <v>0</v>
      </c>
      <c r="J247" s="207"/>
      <c r="K247" s="151">
        <v>7.2499999999999995E-2</v>
      </c>
      <c r="L247" s="152">
        <v>0.9</v>
      </c>
      <c r="M247" s="153">
        <v>9</v>
      </c>
      <c r="N247" s="153">
        <v>2.5</v>
      </c>
      <c r="O247" s="152">
        <v>12</v>
      </c>
      <c r="P247" s="208"/>
      <c r="Q247" s="208"/>
      <c r="R247" s="208"/>
      <c r="S247" s="208"/>
      <c r="T247" s="209"/>
      <c r="U247" s="222"/>
      <c r="V247" s="223"/>
      <c r="W247" s="208"/>
      <c r="X247" s="208"/>
      <c r="Y247" s="210"/>
      <c r="Z247" s="210"/>
      <c r="AA247" s="210"/>
      <c r="AB247" s="210"/>
      <c r="AC247" s="210"/>
      <c r="AD247" s="211"/>
      <c r="AE247" s="211"/>
      <c r="AF247" s="211"/>
      <c r="AG247" s="198"/>
      <c r="AH247" s="198"/>
      <c r="AI247" s="198"/>
      <c r="AJ247" s="198"/>
      <c r="AK247" s="198"/>
      <c r="AL247" s="83"/>
      <c r="AM247" s="83"/>
      <c r="AN247" s="83"/>
      <c r="AO247" s="83"/>
      <c r="AP247" s="83"/>
      <c r="AQ247" s="83"/>
      <c r="AR247" s="83">
        <f t="shared" si="87"/>
        <v>0</v>
      </c>
      <c r="AS247" s="83"/>
      <c r="AT247" s="83">
        <v>0</v>
      </c>
      <c r="AU247" s="83">
        <f t="shared" ref="AU247:AU267" si="97">AR247-AT247</f>
        <v>0</v>
      </c>
      <c r="AV247" s="83"/>
      <c r="AW247" s="83"/>
      <c r="AX247" s="83"/>
      <c r="AY247" s="83"/>
      <c r="AZ247" s="83"/>
      <c r="BA247" s="368">
        <f>CL247*7.25%*0.9*3.5/12</f>
        <v>285468.75</v>
      </c>
      <c r="BB247" s="83"/>
      <c r="BC247" s="83"/>
      <c r="BD247" s="83"/>
      <c r="BE247" s="83"/>
      <c r="BF247" s="83"/>
      <c r="BG247" s="83"/>
      <c r="BH247" s="83">
        <f t="shared" si="85"/>
        <v>285468.75</v>
      </c>
      <c r="BI247" s="83">
        <f t="shared" ref="BI247:BI248" si="98">CK247*K247*L247*N247/O247</f>
        <v>115546.875</v>
      </c>
      <c r="BJ247" s="212"/>
      <c r="BK247" s="213"/>
      <c r="BL247" s="213"/>
      <c r="BM247" s="214"/>
      <c r="BN247" s="214"/>
      <c r="BO247" s="214"/>
      <c r="BP247" s="214"/>
      <c r="BQ247" s="160"/>
      <c r="BR247" s="160"/>
      <c r="BS247" s="215"/>
      <c r="BT247" s="215"/>
      <c r="BU247" s="215"/>
      <c r="BV247" s="162"/>
      <c r="BW247" s="162"/>
      <c r="BX247" s="95">
        <f t="shared" si="89"/>
        <v>0</v>
      </c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>
        <v>8500000</v>
      </c>
      <c r="CL247" s="95">
        <v>15000000</v>
      </c>
      <c r="CM247" s="216" t="s">
        <v>105</v>
      </c>
      <c r="CN247" s="174" t="s">
        <v>230</v>
      </c>
    </row>
    <row r="248" spans="1:92" s="174" customFormat="1" ht="21.75" customHeight="1" x14ac:dyDescent="0.2">
      <c r="B248" s="145">
        <f t="shared" si="86"/>
        <v>238</v>
      </c>
      <c r="C248" s="204" t="s">
        <v>450</v>
      </c>
      <c r="D248" s="224" t="s">
        <v>451</v>
      </c>
      <c r="E248" s="204" t="s">
        <v>95</v>
      </c>
      <c r="F248" s="148" t="s">
        <v>134</v>
      </c>
      <c r="G248" s="205"/>
      <c r="H248" s="205" t="s">
        <v>148</v>
      </c>
      <c r="I248" s="206">
        <v>0</v>
      </c>
      <c r="J248" s="207"/>
      <c r="K248" s="151">
        <v>7.2499999999999995E-2</v>
      </c>
      <c r="L248" s="152">
        <v>0.9</v>
      </c>
      <c r="M248" s="153">
        <v>9</v>
      </c>
      <c r="N248" s="153">
        <v>2</v>
      </c>
      <c r="O248" s="152">
        <v>12</v>
      </c>
      <c r="P248" s="208"/>
      <c r="Q248" s="208"/>
      <c r="R248" s="208"/>
      <c r="S248" s="208"/>
      <c r="T248" s="209"/>
      <c r="U248" s="222"/>
      <c r="V248" s="223"/>
      <c r="W248" s="208"/>
      <c r="X248" s="208"/>
      <c r="Y248" s="210"/>
      <c r="Z248" s="210"/>
      <c r="AA248" s="210"/>
      <c r="AB248" s="210"/>
      <c r="AC248" s="210"/>
      <c r="AD248" s="211"/>
      <c r="AE248" s="211"/>
      <c r="AF248" s="211"/>
      <c r="AG248" s="198"/>
      <c r="AH248" s="198"/>
      <c r="AI248" s="198"/>
      <c r="AJ248" s="198"/>
      <c r="AK248" s="198"/>
      <c r="AL248" s="83"/>
      <c r="AM248" s="83"/>
      <c r="AN248" s="83"/>
      <c r="AO248" s="83"/>
      <c r="AP248" s="83"/>
      <c r="AQ248" s="83"/>
      <c r="AR248" s="83">
        <f t="shared" si="87"/>
        <v>0</v>
      </c>
      <c r="AS248" s="83"/>
      <c r="AT248" s="83">
        <v>0</v>
      </c>
      <c r="AU248" s="83">
        <f t="shared" si="97"/>
        <v>0</v>
      </c>
      <c r="AV248" s="83"/>
      <c r="AW248" s="83"/>
      <c r="AX248" s="83"/>
      <c r="AY248" s="83"/>
      <c r="AZ248" s="83"/>
      <c r="BA248" s="368">
        <f t="shared" ref="BA248:BA249" si="99">CL248*7.25%*0.9*3.5/12</f>
        <v>133218.74999999997</v>
      </c>
      <c r="BB248" s="83"/>
      <c r="BC248" s="83"/>
      <c r="BD248" s="83"/>
      <c r="BE248" s="83"/>
      <c r="BF248" s="83"/>
      <c r="BG248" s="83"/>
      <c r="BH248" s="83">
        <f t="shared" si="85"/>
        <v>133218.74999999997</v>
      </c>
      <c r="BI248" s="83">
        <f t="shared" si="98"/>
        <v>92437.5</v>
      </c>
      <c r="BJ248" s="212"/>
      <c r="BK248" s="213"/>
      <c r="BL248" s="213"/>
      <c r="BM248" s="214"/>
      <c r="BN248" s="214"/>
      <c r="BO248" s="214"/>
      <c r="BP248" s="214"/>
      <c r="BQ248" s="160"/>
      <c r="BR248" s="160"/>
      <c r="BS248" s="215"/>
      <c r="BT248" s="215"/>
      <c r="BU248" s="215"/>
      <c r="BV248" s="162"/>
      <c r="BW248" s="162"/>
      <c r="BX248" s="95">
        <f t="shared" si="89"/>
        <v>0</v>
      </c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>
        <v>8500000</v>
      </c>
      <c r="CL248" s="95">
        <v>7000000</v>
      </c>
      <c r="CM248" s="216" t="s">
        <v>105</v>
      </c>
      <c r="CN248" s="174" t="s">
        <v>230</v>
      </c>
    </row>
    <row r="249" spans="1:92" s="174" customFormat="1" ht="28.5" hidden="1" customHeight="1" x14ac:dyDescent="0.2">
      <c r="B249" s="99">
        <f t="shared" si="86"/>
        <v>239</v>
      </c>
      <c r="C249" s="202" t="s">
        <v>450</v>
      </c>
      <c r="D249" s="203" t="s">
        <v>451</v>
      </c>
      <c r="E249" s="204"/>
      <c r="F249" s="148" t="s">
        <v>134</v>
      </c>
      <c r="G249" s="205"/>
      <c r="H249" s="205"/>
      <c r="I249" s="206"/>
      <c r="J249" s="207"/>
      <c r="K249" s="76">
        <v>7.4999999999999997E-2</v>
      </c>
      <c r="L249" s="77">
        <v>0.9</v>
      </c>
      <c r="M249" s="78">
        <v>9</v>
      </c>
      <c r="N249" s="78">
        <v>4</v>
      </c>
      <c r="O249" s="77">
        <v>12</v>
      </c>
      <c r="P249" s="208"/>
      <c r="Q249" s="208"/>
      <c r="R249" s="208"/>
      <c r="S249" s="208"/>
      <c r="T249" s="209"/>
      <c r="U249" s="222"/>
      <c r="V249" s="223"/>
      <c r="W249" s="208"/>
      <c r="X249" s="208"/>
      <c r="Y249" s="210"/>
      <c r="Z249" s="210"/>
      <c r="AA249" s="210"/>
      <c r="AB249" s="210"/>
      <c r="AC249" s="210"/>
      <c r="AD249" s="211"/>
      <c r="AE249" s="211"/>
      <c r="AF249" s="211"/>
      <c r="AG249" s="198"/>
      <c r="AH249" s="198"/>
      <c r="AI249" s="198"/>
      <c r="AJ249" s="198"/>
      <c r="AK249" s="198"/>
      <c r="AL249" s="83"/>
      <c r="AM249" s="83"/>
      <c r="AN249" s="83"/>
      <c r="AO249" s="83"/>
      <c r="AP249" s="83"/>
      <c r="AQ249" s="83"/>
      <c r="AR249" s="82">
        <f t="shared" si="87"/>
        <v>0</v>
      </c>
      <c r="AS249" s="82"/>
      <c r="AT249" s="82">
        <v>0</v>
      </c>
      <c r="AU249" s="85">
        <f t="shared" si="97"/>
        <v>0</v>
      </c>
      <c r="AV249" s="85"/>
      <c r="AW249" s="86"/>
      <c r="AX249" s="86"/>
      <c r="AY249" s="85"/>
      <c r="AZ249" s="85"/>
      <c r="BA249" s="292">
        <f t="shared" si="99"/>
        <v>57093.749999999993</v>
      </c>
      <c r="BB249" s="85"/>
      <c r="BC249" s="85"/>
      <c r="BD249" s="85"/>
      <c r="BE249" s="85"/>
      <c r="BF249" s="85"/>
      <c r="BG249" s="85"/>
      <c r="BH249" s="85">
        <f t="shared" si="85"/>
        <v>57093.749999999993</v>
      </c>
      <c r="BI249" s="85"/>
      <c r="BJ249" s="212"/>
      <c r="BK249" s="213"/>
      <c r="BL249" s="213"/>
      <c r="BM249" s="214"/>
      <c r="BN249" s="214"/>
      <c r="BO249" s="214"/>
      <c r="BP249" s="214"/>
      <c r="BQ249" s="160"/>
      <c r="BR249" s="160"/>
      <c r="BS249" s="215"/>
      <c r="BT249" s="215"/>
      <c r="BU249" s="215"/>
      <c r="BV249" s="162"/>
      <c r="BW249" s="162"/>
      <c r="BX249" s="93">
        <f t="shared" si="89"/>
        <v>0</v>
      </c>
      <c r="BY249" s="93"/>
      <c r="BZ249" s="93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5"/>
      <c r="CL249" s="95">
        <v>3000000</v>
      </c>
      <c r="CM249" s="216" t="s">
        <v>105</v>
      </c>
      <c r="CN249" s="319" t="s">
        <v>151</v>
      </c>
    </row>
    <row r="250" spans="1:92" s="120" customFormat="1" ht="30" customHeight="1" x14ac:dyDescent="0.2">
      <c r="A250" s="120">
        <f>A246+1</f>
        <v>121</v>
      </c>
      <c r="B250" s="99">
        <v>239</v>
      </c>
      <c r="C250" s="122" t="s">
        <v>452</v>
      </c>
      <c r="D250" s="123" t="s">
        <v>453</v>
      </c>
      <c r="E250" s="122" t="s">
        <v>95</v>
      </c>
      <c r="F250" s="100" t="s">
        <v>96</v>
      </c>
      <c r="G250" s="124">
        <v>43497</v>
      </c>
      <c r="H250" s="124">
        <v>43497</v>
      </c>
      <c r="I250" s="125">
        <v>7000000</v>
      </c>
      <c r="J250" s="126">
        <v>7.7499999999999999E-2</v>
      </c>
      <c r="K250" s="105">
        <v>7.4999999999999997E-2</v>
      </c>
      <c r="L250" s="127">
        <v>0.9</v>
      </c>
      <c r="M250" s="128">
        <v>10</v>
      </c>
      <c r="N250" s="128"/>
      <c r="O250" s="127">
        <v>12</v>
      </c>
      <c r="P250" s="128">
        <f t="shared" si="79"/>
        <v>406875</v>
      </c>
      <c r="Q250" s="128">
        <f t="shared" si="76"/>
        <v>4246592.4612882333</v>
      </c>
      <c r="R250" s="128">
        <f t="shared" si="80"/>
        <v>246833.18681237855</v>
      </c>
      <c r="S250" s="128">
        <f t="shared" si="77"/>
        <v>160041.81318762145</v>
      </c>
      <c r="T250" s="129">
        <v>0.606656065898319</v>
      </c>
      <c r="U250" s="128"/>
      <c r="V250" s="127"/>
      <c r="W250" s="128">
        <f t="shared" si="74"/>
        <v>4246592.4612882333</v>
      </c>
      <c r="X250" s="128">
        <f t="shared" si="74"/>
        <v>246833.18681237855</v>
      </c>
      <c r="Y250" s="130">
        <f t="shared" si="75"/>
        <v>4246592.4612882333</v>
      </c>
      <c r="Z250" s="130">
        <f t="shared" si="75"/>
        <v>246833.18681237855</v>
      </c>
      <c r="AA250" s="130">
        <f>352586.25-AA251</f>
        <v>246833.19</v>
      </c>
      <c r="AB250" s="130"/>
      <c r="AC250" s="130">
        <f t="shared" si="81"/>
        <v>-3.1876214488875121E-3</v>
      </c>
      <c r="AD250" s="131">
        <v>560.65898318961263</v>
      </c>
      <c r="AE250" s="131">
        <f t="shared" si="92"/>
        <v>-6.0934221245161527E-2</v>
      </c>
      <c r="AF250" s="131"/>
      <c r="AG250" s="132"/>
      <c r="AH250" s="132"/>
      <c r="AI250" s="132"/>
      <c r="AJ250" s="132"/>
      <c r="AK250" s="132"/>
      <c r="AL250" s="111">
        <f t="shared" si="72"/>
        <v>-3.1876214488875121E-3</v>
      </c>
      <c r="AM250" s="111"/>
      <c r="AN250" s="111"/>
      <c r="AO250" s="111"/>
      <c r="AP250" s="111">
        <f t="shared" si="68"/>
        <v>-3.1876214488875121E-3</v>
      </c>
      <c r="AQ250" s="111"/>
      <c r="AR250" s="111">
        <f t="shared" si="87"/>
        <v>-3.1876214488875121E-3</v>
      </c>
      <c r="AS250" s="111"/>
      <c r="AT250" s="111">
        <v>0</v>
      </c>
      <c r="AU250" s="111">
        <f t="shared" si="97"/>
        <v>-3.1876214488875121E-3</v>
      </c>
      <c r="AV250" s="111"/>
      <c r="AW250" s="111"/>
      <c r="AX250" s="111"/>
      <c r="AY250" s="111"/>
      <c r="AZ250" s="111"/>
      <c r="BA250" s="111">
        <f t="shared" si="88"/>
        <v>0</v>
      </c>
      <c r="BB250" s="111"/>
      <c r="BC250" s="111"/>
      <c r="BD250" s="111"/>
      <c r="BE250" s="111"/>
      <c r="BF250" s="111"/>
      <c r="BG250" s="111"/>
      <c r="BH250" s="111">
        <f t="shared" si="85"/>
        <v>0</v>
      </c>
      <c r="BI250" s="111"/>
      <c r="BJ250" s="133">
        <f t="shared" si="96"/>
        <v>-6.8550998900806709E-2</v>
      </c>
      <c r="BK250" s="134"/>
      <c r="BL250" s="134"/>
      <c r="BM250" s="135"/>
      <c r="BN250" s="135"/>
      <c r="BO250" s="135"/>
      <c r="BP250" s="135"/>
      <c r="BQ250" s="114">
        <f t="shared" si="73"/>
        <v>-6.8550998900806709E-2</v>
      </c>
      <c r="BR250" s="114">
        <f t="shared" si="69"/>
        <v>-7.8343998743779092E-2</v>
      </c>
      <c r="BS250" s="136"/>
      <c r="BT250" s="136"/>
      <c r="BU250" s="136"/>
      <c r="BV250" s="115">
        <f t="shared" si="70"/>
        <v>-9.1401331867742283E-2</v>
      </c>
      <c r="BW250" s="115"/>
      <c r="BX250" s="116">
        <f t="shared" si="89"/>
        <v>-0.14167206439500052</v>
      </c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>
        <v>0</v>
      </c>
      <c r="CL250" s="116"/>
      <c r="CM250" s="119"/>
    </row>
    <row r="251" spans="1:92" s="174" customFormat="1" ht="30" customHeight="1" x14ac:dyDescent="0.2">
      <c r="B251" s="145">
        <f t="shared" si="86"/>
        <v>240</v>
      </c>
      <c r="C251" s="204" t="s">
        <v>452</v>
      </c>
      <c r="D251" s="224" t="s">
        <v>453</v>
      </c>
      <c r="E251" s="204" t="s">
        <v>95</v>
      </c>
      <c r="F251" s="148" t="s">
        <v>96</v>
      </c>
      <c r="G251" s="205">
        <v>43497</v>
      </c>
      <c r="H251" s="205">
        <v>43497</v>
      </c>
      <c r="I251" s="206">
        <v>3000000</v>
      </c>
      <c r="J251" s="207">
        <v>7.7499999999999999E-2</v>
      </c>
      <c r="K251" s="151">
        <v>7.2499999999999995E-2</v>
      </c>
      <c r="L251" s="220">
        <v>0.9</v>
      </c>
      <c r="M251" s="208">
        <v>10</v>
      </c>
      <c r="N251" s="208">
        <v>2.5</v>
      </c>
      <c r="O251" s="220">
        <v>12</v>
      </c>
      <c r="P251" s="208">
        <f t="shared" si="79"/>
        <v>174375</v>
      </c>
      <c r="Q251" s="208">
        <f t="shared" si="76"/>
        <v>1819968.197694957</v>
      </c>
      <c r="R251" s="208">
        <f t="shared" si="80"/>
        <v>105785.65149101937</v>
      </c>
      <c r="S251" s="208">
        <f t="shared" si="77"/>
        <v>68589.348508980635</v>
      </c>
      <c r="T251" s="209">
        <v>0.606656065898319</v>
      </c>
      <c r="U251" s="208"/>
      <c r="V251" s="220"/>
      <c r="W251" s="208">
        <f t="shared" si="74"/>
        <v>1819968.197694957</v>
      </c>
      <c r="X251" s="208">
        <f t="shared" si="74"/>
        <v>105785.65149101937</v>
      </c>
      <c r="Y251" s="210">
        <f t="shared" si="75"/>
        <v>1819968.197694957</v>
      </c>
      <c r="Z251" s="210">
        <f t="shared" si="75"/>
        <v>105785.65149101937</v>
      </c>
      <c r="AA251" s="210">
        <v>105753.06</v>
      </c>
      <c r="AB251" s="210"/>
      <c r="AC251" s="210">
        <f t="shared" si="81"/>
        <v>32.591491019367822</v>
      </c>
      <c r="AD251" s="211">
        <v>0</v>
      </c>
      <c r="AE251" s="211">
        <f t="shared" si="92"/>
        <v>623.01535998791542</v>
      </c>
      <c r="AF251" s="211"/>
      <c r="AG251" s="198"/>
      <c r="AH251" s="198"/>
      <c r="AI251" s="198"/>
      <c r="AJ251" s="198"/>
      <c r="AK251" s="198"/>
      <c r="AL251" s="83">
        <f t="shared" si="72"/>
        <v>32.591491019367822</v>
      </c>
      <c r="AM251" s="83"/>
      <c r="AN251" s="83"/>
      <c r="AO251" s="83"/>
      <c r="AP251" s="83">
        <f t="shared" si="68"/>
        <v>32.591491019367822</v>
      </c>
      <c r="AQ251" s="83"/>
      <c r="AR251" s="83">
        <f t="shared" si="87"/>
        <v>32.591491019367822</v>
      </c>
      <c r="AS251" s="83"/>
      <c r="AT251" s="83">
        <v>0</v>
      </c>
      <c r="AU251" s="83">
        <f t="shared" si="97"/>
        <v>32.591491019367822</v>
      </c>
      <c r="AV251" s="83"/>
      <c r="AW251" s="83"/>
      <c r="AX251" s="83"/>
      <c r="AY251" s="83"/>
      <c r="AZ251" s="83"/>
      <c r="BA251" s="83">
        <f t="shared" si="88"/>
        <v>0</v>
      </c>
      <c r="BB251" s="83"/>
      <c r="BC251" s="83"/>
      <c r="BD251" s="83"/>
      <c r="BE251" s="83"/>
      <c r="BF251" s="83"/>
      <c r="BG251" s="83"/>
      <c r="BH251" s="83">
        <f t="shared" si="85"/>
        <v>0</v>
      </c>
      <c r="BI251" s="83">
        <f>CK251*K251*L251*N251/O251</f>
        <v>54375</v>
      </c>
      <c r="BJ251" s="159">
        <f t="shared" si="96"/>
        <v>700.89227998640479</v>
      </c>
      <c r="BK251" s="213"/>
      <c r="BL251" s="213"/>
      <c r="BM251" s="214"/>
      <c r="BN251" s="214"/>
      <c r="BO251" s="214"/>
      <c r="BP251" s="214"/>
      <c r="BQ251" s="160">
        <f t="shared" si="73"/>
        <v>700.89227998640479</v>
      </c>
      <c r="BR251" s="160">
        <f t="shared" si="69"/>
        <v>801.01974855589128</v>
      </c>
      <c r="BS251" s="215"/>
      <c r="BT251" s="215"/>
      <c r="BU251" s="215"/>
      <c r="BV251" s="162">
        <f t="shared" si="70"/>
        <v>934.5230399818729</v>
      </c>
      <c r="BW251" s="162"/>
      <c r="BX251" s="95">
        <f t="shared" si="89"/>
        <v>1498.4593572123138</v>
      </c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>
        <v>4000000</v>
      </c>
      <c r="CL251" s="95"/>
      <c r="CM251" s="216"/>
    </row>
    <row r="252" spans="1:92" s="174" customFormat="1" ht="33" hidden="1" customHeight="1" x14ac:dyDescent="0.2">
      <c r="B252" s="99"/>
      <c r="C252" s="202" t="s">
        <v>452</v>
      </c>
      <c r="D252" s="203" t="s">
        <v>453</v>
      </c>
      <c r="E252" s="204"/>
      <c r="F252" s="148" t="s">
        <v>96</v>
      </c>
      <c r="G252" s="205"/>
      <c r="H252" s="205"/>
      <c r="I252" s="206"/>
      <c r="J252" s="207"/>
      <c r="K252" s="76">
        <v>7.2499999999999995E-2</v>
      </c>
      <c r="L252" s="77">
        <v>0.9</v>
      </c>
      <c r="M252" s="78">
        <v>9</v>
      </c>
      <c r="N252" s="78">
        <v>0</v>
      </c>
      <c r="O252" s="77">
        <v>12</v>
      </c>
      <c r="P252" s="208"/>
      <c r="Q252" s="208"/>
      <c r="R252" s="208"/>
      <c r="S252" s="208"/>
      <c r="T252" s="209"/>
      <c r="U252" s="208"/>
      <c r="V252" s="220"/>
      <c r="W252" s="208"/>
      <c r="X252" s="208"/>
      <c r="Y252" s="210"/>
      <c r="Z252" s="210"/>
      <c r="AA252" s="210"/>
      <c r="AB252" s="210"/>
      <c r="AC252" s="210"/>
      <c r="AD252" s="211"/>
      <c r="AE252" s="211"/>
      <c r="AF252" s="211"/>
      <c r="AG252" s="198"/>
      <c r="AH252" s="198"/>
      <c r="AI252" s="198"/>
      <c r="AJ252" s="198"/>
      <c r="AK252" s="198"/>
      <c r="AL252" s="83"/>
      <c r="AM252" s="83"/>
      <c r="AN252" s="83"/>
      <c r="AO252" s="83"/>
      <c r="AP252" s="83"/>
      <c r="AQ252" s="83"/>
      <c r="AR252" s="82">
        <f t="shared" si="87"/>
        <v>0</v>
      </c>
      <c r="AS252" s="82"/>
      <c r="AT252" s="82">
        <v>0</v>
      </c>
      <c r="AU252" s="85">
        <f t="shared" si="97"/>
        <v>0</v>
      </c>
      <c r="AV252" s="85"/>
      <c r="AW252" s="86"/>
      <c r="AX252" s="86"/>
      <c r="AY252" s="85"/>
      <c r="AZ252" s="85"/>
      <c r="BA252" s="292">
        <f t="shared" ref="BA252" si="100">CL252*7.25%*0.9*3.5/12</f>
        <v>95156.25</v>
      </c>
      <c r="BB252" s="85"/>
      <c r="BC252" s="85"/>
      <c r="BD252" s="85"/>
      <c r="BE252" s="85"/>
      <c r="BF252" s="85"/>
      <c r="BG252" s="85"/>
      <c r="BH252" s="85">
        <f t="shared" si="85"/>
        <v>95156.25</v>
      </c>
      <c r="BI252" s="85">
        <f>CK252*7.25%*0.9*2.5/12</f>
        <v>0</v>
      </c>
      <c r="BJ252" s="159"/>
      <c r="BK252" s="213"/>
      <c r="BL252" s="213"/>
      <c r="BM252" s="214"/>
      <c r="BN252" s="214"/>
      <c r="BO252" s="214"/>
      <c r="BP252" s="214"/>
      <c r="BQ252" s="160"/>
      <c r="BR252" s="160"/>
      <c r="BS252" s="215"/>
      <c r="BT252" s="215"/>
      <c r="BU252" s="215"/>
      <c r="BV252" s="162"/>
      <c r="BW252" s="162"/>
      <c r="BX252" s="93">
        <f t="shared" si="89"/>
        <v>0</v>
      </c>
      <c r="BY252" s="93"/>
      <c r="BZ252" s="93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5">
        <v>0</v>
      </c>
      <c r="CL252" s="95">
        <v>5000000</v>
      </c>
      <c r="CM252" s="216" t="s">
        <v>105</v>
      </c>
      <c r="CN252" s="174" t="s">
        <v>106</v>
      </c>
    </row>
    <row r="253" spans="1:92" s="118" customFormat="1" ht="81.75" customHeight="1" x14ac:dyDescent="0.2">
      <c r="A253" s="118">
        <f>A250+1</f>
        <v>122</v>
      </c>
      <c r="B253" s="99">
        <v>241</v>
      </c>
      <c r="C253" s="100" t="s">
        <v>454</v>
      </c>
      <c r="D253" s="101" t="s">
        <v>455</v>
      </c>
      <c r="E253" s="100" t="s">
        <v>95</v>
      </c>
      <c r="F253" s="100" t="s">
        <v>96</v>
      </c>
      <c r="G253" s="103">
        <v>43497</v>
      </c>
      <c r="H253" s="124" t="s">
        <v>171</v>
      </c>
      <c r="I253" s="104">
        <v>400000</v>
      </c>
      <c r="J253" s="105">
        <v>7.7499999999999999E-2</v>
      </c>
      <c r="K253" s="105">
        <v>7.4999999999999997E-2</v>
      </c>
      <c r="L253" s="106">
        <v>0.9</v>
      </c>
      <c r="M253" s="107">
        <v>10</v>
      </c>
      <c r="N253" s="107">
        <v>4</v>
      </c>
      <c r="O253" s="106">
        <v>12</v>
      </c>
      <c r="P253" s="107">
        <f>I253*J253*L253*M253/O253</f>
        <v>23250</v>
      </c>
      <c r="Q253" s="107">
        <f t="shared" si="76"/>
        <v>242662.4263593276</v>
      </c>
      <c r="R253" s="107">
        <f t="shared" si="80"/>
        <v>14104.753532135917</v>
      </c>
      <c r="S253" s="107">
        <f t="shared" si="77"/>
        <v>9145.2464678640827</v>
      </c>
      <c r="T253" s="108">
        <v>0.606656065898319</v>
      </c>
      <c r="U253" s="107"/>
      <c r="V253" s="106"/>
      <c r="W253" s="107">
        <f t="shared" si="74"/>
        <v>242662.4263593276</v>
      </c>
      <c r="X253" s="107">
        <f t="shared" si="74"/>
        <v>14104.753532135917</v>
      </c>
      <c r="Y253" s="109">
        <f t="shared" si="75"/>
        <v>242662.4263593276</v>
      </c>
      <c r="Z253" s="109">
        <f t="shared" si="75"/>
        <v>14104.753532135917</v>
      </c>
      <c r="AA253" s="109"/>
      <c r="AB253" s="109"/>
      <c r="AC253" s="109">
        <f t="shared" si="81"/>
        <v>14104.753532135917</v>
      </c>
      <c r="AD253" s="110">
        <v>242662.42635932763</v>
      </c>
      <c r="AE253" s="110">
        <f t="shared" si="92"/>
        <v>269624.91817703069</v>
      </c>
      <c r="AF253" s="110"/>
      <c r="AG253" s="132">
        <v>-14104.75</v>
      </c>
      <c r="AH253" s="111"/>
      <c r="AI253" s="111"/>
      <c r="AJ253" s="111"/>
      <c r="AK253" s="111"/>
      <c r="AL253" s="111">
        <f t="shared" si="72"/>
        <v>3.532135917339474E-3</v>
      </c>
      <c r="AM253" s="111"/>
      <c r="AN253" s="111"/>
      <c r="AO253" s="111"/>
      <c r="AP253" s="111">
        <f t="shared" si="68"/>
        <v>3.532135917339474E-3</v>
      </c>
      <c r="AQ253" s="111"/>
      <c r="AR253" s="111">
        <f t="shared" si="87"/>
        <v>3.532135917339474E-3</v>
      </c>
      <c r="AS253" s="111"/>
      <c r="AT253" s="111">
        <v>0</v>
      </c>
      <c r="AU253" s="111">
        <f t="shared" si="97"/>
        <v>3.532135917339474E-3</v>
      </c>
      <c r="AV253" s="111"/>
      <c r="AW253" s="111"/>
      <c r="AX253" s="111"/>
      <c r="AY253" s="111"/>
      <c r="AZ253" s="111"/>
      <c r="BA253" s="111">
        <f t="shared" si="88"/>
        <v>0</v>
      </c>
      <c r="BB253" s="111"/>
      <c r="BC253" s="111"/>
      <c r="BD253" s="111"/>
      <c r="BE253" s="111"/>
      <c r="BF253" s="111"/>
      <c r="BG253" s="111"/>
      <c r="BH253" s="111">
        <f t="shared" si="85"/>
        <v>0</v>
      </c>
      <c r="BI253" s="111"/>
      <c r="BJ253" s="112">
        <f t="shared" si="96"/>
        <v>303328.0329491595</v>
      </c>
      <c r="BK253" s="112"/>
      <c r="BL253" s="134">
        <v>-303328.03000000003</v>
      </c>
      <c r="BM253" s="113"/>
      <c r="BN253" s="113"/>
      <c r="BO253" s="113"/>
      <c r="BP253" s="113"/>
      <c r="BQ253" s="114">
        <f t="shared" si="73"/>
        <v>2.9491594759747386E-3</v>
      </c>
      <c r="BR253" s="114">
        <f t="shared" si="69"/>
        <v>8.6811328229541601E-2</v>
      </c>
      <c r="BS253" s="98"/>
      <c r="BT253" s="98"/>
      <c r="BU253" s="98"/>
      <c r="BV253" s="115">
        <f t="shared" si="70"/>
        <v>0.10127988293446522</v>
      </c>
      <c r="BW253" s="115"/>
      <c r="BX253" s="116">
        <f t="shared" si="89"/>
        <v>0.15698381854842108</v>
      </c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>
        <v>0</v>
      </c>
      <c r="CL253" s="116"/>
      <c r="CM253" s="117"/>
    </row>
    <row r="254" spans="1:92" s="118" customFormat="1" ht="79.5" customHeight="1" x14ac:dyDescent="0.2">
      <c r="A254" s="118">
        <f>A253+1</f>
        <v>123</v>
      </c>
      <c r="B254" s="99">
        <f t="shared" si="86"/>
        <v>242</v>
      </c>
      <c r="C254" s="100" t="s">
        <v>456</v>
      </c>
      <c r="D254" s="101" t="s">
        <v>457</v>
      </c>
      <c r="E254" s="100" t="s">
        <v>95</v>
      </c>
      <c r="F254" s="100" t="s">
        <v>96</v>
      </c>
      <c r="G254" s="103">
        <v>43556</v>
      </c>
      <c r="H254" s="124" t="s">
        <v>171</v>
      </c>
      <c r="I254" s="104">
        <v>1000000</v>
      </c>
      <c r="J254" s="105">
        <v>7.7499999999999999E-2</v>
      </c>
      <c r="K254" s="105">
        <v>7.4999999999999997E-2</v>
      </c>
      <c r="L254" s="106">
        <v>0.9</v>
      </c>
      <c r="M254" s="107">
        <v>8</v>
      </c>
      <c r="N254" s="107"/>
      <c r="O254" s="106">
        <v>12</v>
      </c>
      <c r="P254" s="107">
        <f t="shared" si="79"/>
        <v>46500</v>
      </c>
      <c r="Q254" s="107">
        <f t="shared" si="76"/>
        <v>606656.06589831901</v>
      </c>
      <c r="R254" s="107">
        <f t="shared" si="80"/>
        <v>28209.507064271835</v>
      </c>
      <c r="S254" s="107">
        <f t="shared" si="77"/>
        <v>18290.492935728165</v>
      </c>
      <c r="T254" s="108">
        <v>0.606656065898319</v>
      </c>
      <c r="U254" s="107"/>
      <c r="V254" s="106"/>
      <c r="W254" s="107">
        <f t="shared" si="74"/>
        <v>606656.06589831901</v>
      </c>
      <c r="X254" s="107">
        <f t="shared" si="74"/>
        <v>28209.507064271835</v>
      </c>
      <c r="Y254" s="109">
        <f t="shared" si="75"/>
        <v>606656.06589831901</v>
      </c>
      <c r="Z254" s="109">
        <f t="shared" si="75"/>
        <v>28209.507064271835</v>
      </c>
      <c r="AA254" s="109"/>
      <c r="AB254" s="109"/>
      <c r="AC254" s="109">
        <f t="shared" si="81"/>
        <v>28209.507064271835</v>
      </c>
      <c r="AD254" s="110">
        <v>485324.85271865525</v>
      </c>
      <c r="AE254" s="110">
        <f t="shared" si="92"/>
        <v>539249.83635406138</v>
      </c>
      <c r="AF254" s="110"/>
      <c r="AG254" s="132">
        <v>-28209.51</v>
      </c>
      <c r="AH254" s="111"/>
      <c r="AI254" s="111"/>
      <c r="AJ254" s="111"/>
      <c r="AK254" s="111"/>
      <c r="AL254" s="111">
        <f t="shared" si="72"/>
        <v>-2.9357281637203414E-3</v>
      </c>
      <c r="AM254" s="111"/>
      <c r="AN254" s="111"/>
      <c r="AO254" s="111"/>
      <c r="AP254" s="111">
        <f t="shared" si="68"/>
        <v>-2.9357281637203414E-3</v>
      </c>
      <c r="AQ254" s="111"/>
      <c r="AR254" s="111">
        <f t="shared" si="87"/>
        <v>-2.9357281637203414E-3</v>
      </c>
      <c r="AS254" s="111"/>
      <c r="AT254" s="111">
        <v>0</v>
      </c>
      <c r="AU254" s="111">
        <f t="shared" si="97"/>
        <v>-2.9357281637203414E-3</v>
      </c>
      <c r="AV254" s="111"/>
      <c r="AW254" s="111"/>
      <c r="AX254" s="111"/>
      <c r="AY254" s="111"/>
      <c r="AZ254" s="111"/>
      <c r="BA254" s="111">
        <f t="shared" si="88"/>
        <v>0</v>
      </c>
      <c r="BB254" s="111"/>
      <c r="BC254" s="111"/>
      <c r="BD254" s="111"/>
      <c r="BE254" s="111"/>
      <c r="BF254" s="111"/>
      <c r="BG254" s="111"/>
      <c r="BH254" s="111">
        <f t="shared" si="85"/>
        <v>0</v>
      </c>
      <c r="BI254" s="111"/>
      <c r="BJ254" s="112">
        <f t="shared" si="96"/>
        <v>606656.06589831901</v>
      </c>
      <c r="BK254" s="112"/>
      <c r="BL254" s="134">
        <v>-606656.06999999995</v>
      </c>
      <c r="BM254" s="113"/>
      <c r="BN254" s="113"/>
      <c r="BO254" s="113"/>
      <c r="BP254" s="113"/>
      <c r="BQ254" s="114">
        <f t="shared" si="73"/>
        <v>-4.1016809409484267E-3</v>
      </c>
      <c r="BR254" s="114">
        <f t="shared" si="69"/>
        <v>-7.2153073148272601E-2</v>
      </c>
      <c r="BS254" s="98"/>
      <c r="BT254" s="98"/>
      <c r="BU254" s="98"/>
      <c r="BV254" s="115">
        <f t="shared" si="70"/>
        <v>-8.4178585339651363E-2</v>
      </c>
      <c r="BW254" s="115"/>
      <c r="BX254" s="116">
        <f t="shared" si="89"/>
        <v>-0.13047680727645963</v>
      </c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>
        <v>0</v>
      </c>
      <c r="CL254" s="116"/>
      <c r="CM254" s="117"/>
    </row>
    <row r="255" spans="1:92" s="120" customFormat="1" ht="25.5" x14ac:dyDescent="0.2">
      <c r="A255" s="118">
        <f t="shared" ref="A255:A256" si="101">A254+1</f>
        <v>124</v>
      </c>
      <c r="B255" s="99">
        <f t="shared" si="86"/>
        <v>243</v>
      </c>
      <c r="C255" s="122" t="s">
        <v>458</v>
      </c>
      <c r="D255" s="123" t="s">
        <v>459</v>
      </c>
      <c r="E255" s="122" t="s">
        <v>95</v>
      </c>
      <c r="F255" s="100" t="s">
        <v>96</v>
      </c>
      <c r="G255" s="124">
        <v>43525</v>
      </c>
      <c r="H255" s="124">
        <v>43525</v>
      </c>
      <c r="I255" s="125">
        <v>3000000</v>
      </c>
      <c r="J255" s="126">
        <v>7.7499999999999999E-2</v>
      </c>
      <c r="K255" s="105">
        <v>7.4999999999999997E-2</v>
      </c>
      <c r="L255" s="127">
        <v>0.9</v>
      </c>
      <c r="M255" s="128">
        <v>9</v>
      </c>
      <c r="N255" s="128"/>
      <c r="O255" s="127">
        <v>12</v>
      </c>
      <c r="P255" s="128">
        <f t="shared" si="79"/>
        <v>156937.5</v>
      </c>
      <c r="Q255" s="128">
        <f t="shared" si="76"/>
        <v>1819968.197694957</v>
      </c>
      <c r="R255" s="128">
        <f t="shared" si="80"/>
        <v>95207.086341917442</v>
      </c>
      <c r="S255" s="128">
        <f t="shared" si="77"/>
        <v>61730.413658082558</v>
      </c>
      <c r="T255" s="129">
        <v>0.606656065898319</v>
      </c>
      <c r="U255" s="128"/>
      <c r="V255" s="127"/>
      <c r="W255" s="128">
        <f t="shared" si="74"/>
        <v>1819968.197694957</v>
      </c>
      <c r="X255" s="128">
        <f t="shared" si="74"/>
        <v>95207.086341917442</v>
      </c>
      <c r="Y255" s="130">
        <f t="shared" si="75"/>
        <v>1819968.197694957</v>
      </c>
      <c r="Z255" s="130">
        <f t="shared" si="75"/>
        <v>95207.086341917442</v>
      </c>
      <c r="AA255" s="130"/>
      <c r="AB255" s="130">
        <v>94879.11</v>
      </c>
      <c r="AC255" s="130">
        <f t="shared" si="81"/>
        <v>327.97634191744146</v>
      </c>
      <c r="AD255" s="131">
        <v>-862028.62207453861</v>
      </c>
      <c r="AE255" s="131">
        <f t="shared" si="92"/>
        <v>6269.5597021255244</v>
      </c>
      <c r="AF255" s="131"/>
      <c r="AG255" s="132"/>
      <c r="AH255" s="132"/>
      <c r="AI255" s="132"/>
      <c r="AJ255" s="132"/>
      <c r="AK255" s="132"/>
      <c r="AL255" s="111">
        <f t="shared" si="72"/>
        <v>327.97634191744146</v>
      </c>
      <c r="AM255" s="111"/>
      <c r="AN255" s="111"/>
      <c r="AO255" s="111"/>
      <c r="AP255" s="111">
        <f t="shared" si="68"/>
        <v>327.97634191744146</v>
      </c>
      <c r="AQ255" s="111"/>
      <c r="AR255" s="111">
        <f t="shared" si="87"/>
        <v>327.97634191744146</v>
      </c>
      <c r="AS255" s="111"/>
      <c r="AT255" s="111">
        <v>0</v>
      </c>
      <c r="AU255" s="111">
        <f t="shared" si="97"/>
        <v>327.97634191744146</v>
      </c>
      <c r="AV255" s="111"/>
      <c r="AW255" s="111"/>
      <c r="AX255" s="111"/>
      <c r="AY255" s="111"/>
      <c r="AZ255" s="111"/>
      <c r="BA255" s="111">
        <f t="shared" si="88"/>
        <v>0</v>
      </c>
      <c r="BB255" s="111"/>
      <c r="BC255" s="111"/>
      <c r="BD255" s="111"/>
      <c r="BE255" s="111"/>
      <c r="BF255" s="111"/>
      <c r="BG255" s="111"/>
      <c r="BH255" s="111">
        <f t="shared" si="85"/>
        <v>0</v>
      </c>
      <c r="BI255" s="111"/>
      <c r="BJ255" s="112">
        <f t="shared" si="96"/>
        <v>7053.2546648912157</v>
      </c>
      <c r="BK255" s="134"/>
      <c r="BL255" s="134"/>
      <c r="BM255" s="135"/>
      <c r="BN255" s="135"/>
      <c r="BO255" s="135"/>
      <c r="BP255" s="135"/>
      <c r="BQ255" s="114">
        <f t="shared" si="73"/>
        <v>7053.2546648912157</v>
      </c>
      <c r="BR255" s="114">
        <f t="shared" si="69"/>
        <v>8060.8624741613885</v>
      </c>
      <c r="BS255" s="136"/>
      <c r="BT255" s="136"/>
      <c r="BU255" s="136"/>
      <c r="BV255" s="115">
        <f t="shared" si="70"/>
        <v>9404.339553188287</v>
      </c>
      <c r="BW255" s="115"/>
      <c r="BX255" s="116">
        <f t="shared" si="89"/>
        <v>14576.726307441844</v>
      </c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>
        <v>0</v>
      </c>
      <c r="CL255" s="116"/>
      <c r="CM255" s="119"/>
    </row>
    <row r="256" spans="1:92" s="118" customFormat="1" ht="25.5" x14ac:dyDescent="0.2">
      <c r="A256" s="118">
        <f t="shared" si="101"/>
        <v>125</v>
      </c>
      <c r="B256" s="99">
        <f t="shared" si="86"/>
        <v>244</v>
      </c>
      <c r="C256" s="100" t="s">
        <v>460</v>
      </c>
      <c r="D256" s="101" t="s">
        <v>461</v>
      </c>
      <c r="E256" s="100" t="s">
        <v>95</v>
      </c>
      <c r="F256" s="100" t="s">
        <v>96</v>
      </c>
      <c r="G256" s="103">
        <v>43497</v>
      </c>
      <c r="H256" s="103" t="s">
        <v>130</v>
      </c>
      <c r="I256" s="104">
        <v>3500000</v>
      </c>
      <c r="J256" s="105">
        <v>7.7499999999999999E-2</v>
      </c>
      <c r="K256" s="105">
        <v>7.4999999999999997E-2</v>
      </c>
      <c r="L256" s="106">
        <v>0.9</v>
      </c>
      <c r="M256" s="107">
        <v>10</v>
      </c>
      <c r="N256" s="107">
        <v>5</v>
      </c>
      <c r="O256" s="106">
        <v>12</v>
      </c>
      <c r="P256" s="107">
        <f t="shared" si="79"/>
        <v>203437.5</v>
      </c>
      <c r="Q256" s="107">
        <f t="shared" si="76"/>
        <v>2123296.2306441166</v>
      </c>
      <c r="R256" s="107">
        <f t="shared" si="80"/>
        <v>123416.59340618928</v>
      </c>
      <c r="S256" s="107">
        <f t="shared" si="77"/>
        <v>80020.906593810723</v>
      </c>
      <c r="T256" s="108">
        <v>0.606656065898319</v>
      </c>
      <c r="U256" s="107"/>
      <c r="V256" s="106"/>
      <c r="W256" s="107">
        <f t="shared" si="74"/>
        <v>2123296.2306441166</v>
      </c>
      <c r="X256" s="107">
        <f t="shared" si="74"/>
        <v>123416.59340618928</v>
      </c>
      <c r="Y256" s="109">
        <f t="shared" si="75"/>
        <v>2123296.2306441166</v>
      </c>
      <c r="Z256" s="109">
        <f t="shared" si="75"/>
        <v>123416.59340618928</v>
      </c>
      <c r="AA256" s="109"/>
      <c r="AB256" s="109"/>
      <c r="AC256" s="109">
        <f t="shared" si="81"/>
        <v>123416.59340618928</v>
      </c>
      <c r="AD256" s="110">
        <v>4246592.4612882333</v>
      </c>
      <c r="AE256" s="110">
        <f t="shared" si="92"/>
        <v>2359218.0340490183</v>
      </c>
      <c r="AF256" s="110"/>
      <c r="AG256" s="111"/>
      <c r="AH256" s="111"/>
      <c r="AI256" s="111"/>
      <c r="AJ256" s="111"/>
      <c r="AK256" s="111"/>
      <c r="AL256" s="111">
        <f t="shared" si="72"/>
        <v>123416.59340618928</v>
      </c>
      <c r="AM256" s="111"/>
      <c r="AN256" s="111"/>
      <c r="AO256" s="111"/>
      <c r="AP256" s="111">
        <f t="shared" si="68"/>
        <v>123416.59340618928</v>
      </c>
      <c r="AQ256" s="111">
        <v>84375</v>
      </c>
      <c r="AR256" s="111">
        <f t="shared" si="87"/>
        <v>39041.593406189277</v>
      </c>
      <c r="AS256" s="111"/>
      <c r="AT256" s="111">
        <v>0</v>
      </c>
      <c r="AU256" s="111">
        <f t="shared" si="97"/>
        <v>39041.593406189277</v>
      </c>
      <c r="AV256" s="111"/>
      <c r="AW256" s="111"/>
      <c r="AX256" s="111"/>
      <c r="AY256" s="111">
        <v>0</v>
      </c>
      <c r="AZ256" s="111"/>
      <c r="BA256" s="111">
        <f t="shared" si="88"/>
        <v>0</v>
      </c>
      <c r="BB256" s="111"/>
      <c r="BC256" s="111"/>
      <c r="BD256" s="111"/>
      <c r="BE256" s="111"/>
      <c r="BF256" s="111"/>
      <c r="BG256" s="111"/>
      <c r="BH256" s="111">
        <f t="shared" si="85"/>
        <v>0</v>
      </c>
      <c r="BI256" s="111"/>
      <c r="BJ256" s="112">
        <f t="shared" si="96"/>
        <v>2654120.2883051457</v>
      </c>
      <c r="BK256" s="112"/>
      <c r="BL256" s="112"/>
      <c r="BM256" s="113"/>
      <c r="BN256" s="113"/>
      <c r="BO256" s="113"/>
      <c r="BP256" s="113"/>
      <c r="BQ256" s="114">
        <f t="shared" si="73"/>
        <v>2654120.2883051457</v>
      </c>
      <c r="BR256" s="114">
        <f t="shared" si="69"/>
        <v>3033280.3294915948</v>
      </c>
      <c r="BS256" s="98"/>
      <c r="BT256" s="98"/>
      <c r="BU256" s="98"/>
      <c r="BV256" s="115">
        <f t="shared" si="70"/>
        <v>3538827.0510735274</v>
      </c>
      <c r="BW256" s="115"/>
      <c r="BX256" s="116">
        <f t="shared" si="89"/>
        <v>1735181.9291639677</v>
      </c>
      <c r="BY256" s="116">
        <v>0</v>
      </c>
      <c r="BZ256" s="116"/>
      <c r="CA256" s="116"/>
      <c r="CB256" s="116"/>
      <c r="CC256" s="116"/>
      <c r="CD256" s="116">
        <v>0</v>
      </c>
      <c r="CE256" s="116"/>
      <c r="CF256" s="116"/>
      <c r="CG256" s="116"/>
      <c r="CH256" s="116"/>
      <c r="CI256" s="116"/>
      <c r="CJ256" s="116"/>
      <c r="CK256" s="116">
        <v>0</v>
      </c>
      <c r="CL256" s="116">
        <v>3000000</v>
      </c>
      <c r="CM256" s="119" t="s">
        <v>105</v>
      </c>
      <c r="CN256" s="120" t="s">
        <v>106</v>
      </c>
    </row>
    <row r="257" spans="1:92" s="118" customFormat="1" ht="25.5" x14ac:dyDescent="0.2">
      <c r="B257" s="99">
        <f t="shared" si="86"/>
        <v>245</v>
      </c>
      <c r="C257" s="100" t="s">
        <v>460</v>
      </c>
      <c r="D257" s="101" t="s">
        <v>461</v>
      </c>
      <c r="E257" s="100" t="s">
        <v>161</v>
      </c>
      <c r="F257" s="100" t="s">
        <v>96</v>
      </c>
      <c r="G257" s="103">
        <v>43497</v>
      </c>
      <c r="H257" s="103" t="s">
        <v>130</v>
      </c>
      <c r="I257" s="104">
        <v>3500000</v>
      </c>
      <c r="J257" s="105">
        <v>7.7499999999999999E-2</v>
      </c>
      <c r="K257" s="105">
        <v>7.4999999999999997E-2</v>
      </c>
      <c r="L257" s="106">
        <v>0.9</v>
      </c>
      <c r="M257" s="107">
        <v>10</v>
      </c>
      <c r="N257" s="107">
        <v>5</v>
      </c>
      <c r="O257" s="106">
        <v>12</v>
      </c>
      <c r="P257" s="107">
        <f t="shared" si="79"/>
        <v>203437.5</v>
      </c>
      <c r="Q257" s="107">
        <f t="shared" si="76"/>
        <v>2123296.2306441166</v>
      </c>
      <c r="R257" s="107">
        <f t="shared" si="80"/>
        <v>123416.59340618928</v>
      </c>
      <c r="S257" s="107">
        <f t="shared" si="77"/>
        <v>80020.906593810723</v>
      </c>
      <c r="T257" s="108">
        <v>0.606656065898319</v>
      </c>
      <c r="U257" s="107"/>
      <c r="V257" s="106"/>
      <c r="W257" s="107">
        <f t="shared" si="74"/>
        <v>2123296.2306441166</v>
      </c>
      <c r="X257" s="107">
        <f t="shared" si="74"/>
        <v>123416.59340618928</v>
      </c>
      <c r="Y257" s="109">
        <f t="shared" si="75"/>
        <v>2123296.2306441166</v>
      </c>
      <c r="Z257" s="109">
        <f t="shared" si="75"/>
        <v>123416.59340618928</v>
      </c>
      <c r="AA257" s="109"/>
      <c r="AB257" s="109"/>
      <c r="AC257" s="109">
        <f t="shared" si="81"/>
        <v>123416.59340618928</v>
      </c>
      <c r="AD257" s="110">
        <v>0</v>
      </c>
      <c r="AE257" s="110">
        <f t="shared" si="92"/>
        <v>2359218.0340490183</v>
      </c>
      <c r="AF257" s="110"/>
      <c r="AG257" s="111"/>
      <c r="AH257" s="111"/>
      <c r="AI257" s="111"/>
      <c r="AJ257" s="111"/>
      <c r="AK257" s="111"/>
      <c r="AL257" s="111">
        <f t="shared" si="72"/>
        <v>123416.59340618928</v>
      </c>
      <c r="AM257" s="111"/>
      <c r="AN257" s="111"/>
      <c r="AO257" s="111"/>
      <c r="AP257" s="111">
        <f t="shared" si="68"/>
        <v>123416.59340618928</v>
      </c>
      <c r="AQ257" s="111">
        <v>112500</v>
      </c>
      <c r="AR257" s="111">
        <f t="shared" si="87"/>
        <v>10916.593406189277</v>
      </c>
      <c r="AS257" s="111"/>
      <c r="AT257" s="111">
        <v>0</v>
      </c>
      <c r="AU257" s="111">
        <f t="shared" si="97"/>
        <v>10916.593406189277</v>
      </c>
      <c r="AV257" s="111"/>
      <c r="AW257" s="111"/>
      <c r="AX257" s="111"/>
      <c r="AY257" s="111">
        <v>0</v>
      </c>
      <c r="AZ257" s="111"/>
      <c r="BA257" s="111">
        <f t="shared" si="88"/>
        <v>0</v>
      </c>
      <c r="BB257" s="111"/>
      <c r="BC257" s="111"/>
      <c r="BD257" s="111"/>
      <c r="BE257" s="111"/>
      <c r="BF257" s="111"/>
      <c r="BG257" s="111"/>
      <c r="BH257" s="111">
        <f t="shared" si="85"/>
        <v>0</v>
      </c>
      <c r="BI257" s="111"/>
      <c r="BJ257" s="112">
        <f t="shared" si="96"/>
        <v>2654120.2883051457</v>
      </c>
      <c r="BK257" s="112"/>
      <c r="BL257" s="112"/>
      <c r="BM257" s="113"/>
      <c r="BN257" s="113"/>
      <c r="BO257" s="113"/>
      <c r="BP257" s="113"/>
      <c r="BQ257" s="114">
        <f t="shared" si="73"/>
        <v>2654120.2883051457</v>
      </c>
      <c r="BR257" s="114">
        <f t="shared" si="69"/>
        <v>3033280.3294915948</v>
      </c>
      <c r="BS257" s="98"/>
      <c r="BT257" s="98"/>
      <c r="BU257" s="98"/>
      <c r="BV257" s="115">
        <f t="shared" si="70"/>
        <v>3538827.0510735274</v>
      </c>
      <c r="BW257" s="115"/>
      <c r="BX257" s="116">
        <f t="shared" si="89"/>
        <v>485181.92916396796</v>
      </c>
      <c r="BY257" s="116">
        <v>0</v>
      </c>
      <c r="BZ257" s="116"/>
      <c r="CA257" s="116"/>
      <c r="CB257" s="116"/>
      <c r="CC257" s="116"/>
      <c r="CD257" s="116">
        <v>0</v>
      </c>
      <c r="CE257" s="116"/>
      <c r="CF257" s="116"/>
      <c r="CG257" s="116"/>
      <c r="CH257" s="116"/>
      <c r="CI257" s="116"/>
      <c r="CJ257" s="116"/>
      <c r="CK257" s="116"/>
      <c r="CL257" s="116">
        <v>4000000</v>
      </c>
      <c r="CM257" s="119" t="s">
        <v>462</v>
      </c>
      <c r="CN257" s="120" t="s">
        <v>106</v>
      </c>
    </row>
    <row r="258" spans="1:92" s="120" customFormat="1" ht="25.5" x14ac:dyDescent="0.2">
      <c r="A258" s="120">
        <f>A256+1</f>
        <v>126</v>
      </c>
      <c r="B258" s="99">
        <f t="shared" si="86"/>
        <v>246</v>
      </c>
      <c r="C258" s="122" t="s">
        <v>463</v>
      </c>
      <c r="D258" s="123" t="s">
        <v>464</v>
      </c>
      <c r="E258" s="122" t="s">
        <v>95</v>
      </c>
      <c r="F258" s="100" t="s">
        <v>134</v>
      </c>
      <c r="G258" s="124">
        <v>43497</v>
      </c>
      <c r="H258" s="124">
        <v>43497</v>
      </c>
      <c r="I258" s="125">
        <v>8000000</v>
      </c>
      <c r="J258" s="126">
        <v>7.7499999999999999E-2</v>
      </c>
      <c r="K258" s="105">
        <v>7.4999999999999997E-2</v>
      </c>
      <c r="L258" s="127">
        <v>0.9</v>
      </c>
      <c r="M258" s="128">
        <v>10</v>
      </c>
      <c r="N258" s="128"/>
      <c r="O258" s="127">
        <v>12</v>
      </c>
      <c r="P258" s="128">
        <f t="shared" si="79"/>
        <v>465000</v>
      </c>
      <c r="Q258" s="128">
        <f t="shared" si="76"/>
        <v>4853248.5271865521</v>
      </c>
      <c r="R258" s="128">
        <f t="shared" si="80"/>
        <v>282095.07064271835</v>
      </c>
      <c r="S258" s="128">
        <f t="shared" si="77"/>
        <v>182904.92935728165</v>
      </c>
      <c r="T258" s="129">
        <v>0.606656065898319</v>
      </c>
      <c r="U258" s="128"/>
      <c r="V258" s="127"/>
      <c r="W258" s="128">
        <f t="shared" si="74"/>
        <v>4853248.5271865521</v>
      </c>
      <c r="X258" s="128">
        <f t="shared" si="74"/>
        <v>282095.07064271835</v>
      </c>
      <c r="Y258" s="130">
        <f t="shared" si="75"/>
        <v>4853248.5271865521</v>
      </c>
      <c r="Z258" s="130">
        <f>SUM(X258)-56875.88</f>
        <v>225219.19064271834</v>
      </c>
      <c r="AA258" s="130">
        <f>464999.99-AA259-AA260</f>
        <v>225219.17999999993</v>
      </c>
      <c r="AB258" s="130"/>
      <c r="AC258" s="130">
        <f t="shared" si="81"/>
        <v>1.0642718407325447E-2</v>
      </c>
      <c r="AD258" s="131">
        <v>1.1854261159896851E-2</v>
      </c>
      <c r="AE258" s="131">
        <f t="shared" si="92"/>
        <v>0.20344503526548047</v>
      </c>
      <c r="AF258" s="131"/>
      <c r="AG258" s="132"/>
      <c r="AH258" s="132"/>
      <c r="AI258" s="132"/>
      <c r="AJ258" s="132"/>
      <c r="AK258" s="132"/>
      <c r="AL258" s="111">
        <f t="shared" si="72"/>
        <v>1.0642718407325447E-2</v>
      </c>
      <c r="AM258" s="111"/>
      <c r="AN258" s="111"/>
      <c r="AO258" s="111"/>
      <c r="AP258" s="111">
        <f t="shared" si="68"/>
        <v>1.0642718407325447E-2</v>
      </c>
      <c r="AQ258" s="111"/>
      <c r="AR258" s="111">
        <f t="shared" si="87"/>
        <v>1.0642718407325447E-2</v>
      </c>
      <c r="AS258" s="111"/>
      <c r="AT258" s="111">
        <v>0</v>
      </c>
      <c r="AU258" s="111">
        <f t="shared" si="97"/>
        <v>1.0642718407325447E-2</v>
      </c>
      <c r="AV258" s="111"/>
      <c r="AW258" s="111"/>
      <c r="AX258" s="111"/>
      <c r="AY258" s="111"/>
      <c r="AZ258" s="111"/>
      <c r="BA258" s="111">
        <f t="shared" si="88"/>
        <v>0</v>
      </c>
      <c r="BB258" s="111"/>
      <c r="BC258" s="111"/>
      <c r="BD258" s="111"/>
      <c r="BE258" s="111"/>
      <c r="BF258" s="111"/>
      <c r="BG258" s="111"/>
      <c r="BH258" s="111">
        <f t="shared" si="85"/>
        <v>0</v>
      </c>
      <c r="BI258" s="111"/>
      <c r="BJ258" s="112">
        <f t="shared" si="96"/>
        <v>0.22887566467366549</v>
      </c>
      <c r="BK258" s="134"/>
      <c r="BL258" s="134"/>
      <c r="BM258" s="135"/>
      <c r="BN258" s="135"/>
      <c r="BO258" s="135"/>
      <c r="BP258" s="135"/>
      <c r="BQ258" s="114">
        <f t="shared" si="73"/>
        <v>0.22887566467366549</v>
      </c>
      <c r="BR258" s="114">
        <f t="shared" si="69"/>
        <v>0.26157218819847483</v>
      </c>
      <c r="BS258" s="136"/>
      <c r="BT258" s="136"/>
      <c r="BU258" s="136"/>
      <c r="BV258" s="115">
        <f t="shared" si="70"/>
        <v>0.30516755289822067</v>
      </c>
      <c r="BW258" s="115"/>
      <c r="BX258" s="116">
        <f t="shared" si="89"/>
        <v>0.4730097069922421</v>
      </c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>
        <v>0</v>
      </c>
      <c r="CL258" s="116"/>
      <c r="CM258" s="119"/>
    </row>
    <row r="259" spans="1:92" s="120" customFormat="1" ht="25.5" x14ac:dyDescent="0.2">
      <c r="B259" s="99">
        <f t="shared" si="86"/>
        <v>247</v>
      </c>
      <c r="C259" s="122" t="s">
        <v>463</v>
      </c>
      <c r="D259" s="123" t="s">
        <v>464</v>
      </c>
      <c r="E259" s="122" t="s">
        <v>161</v>
      </c>
      <c r="F259" s="100" t="s">
        <v>134</v>
      </c>
      <c r="G259" s="124">
        <v>43556</v>
      </c>
      <c r="H259" s="124" t="s">
        <v>97</v>
      </c>
      <c r="I259" s="125">
        <v>6000000</v>
      </c>
      <c r="J259" s="126">
        <v>7.7499999999999999E-2</v>
      </c>
      <c r="K259" s="105">
        <v>7.4999999999999997E-2</v>
      </c>
      <c r="L259" s="127">
        <v>0.9</v>
      </c>
      <c r="M259" s="128">
        <v>8</v>
      </c>
      <c r="N259" s="128"/>
      <c r="O259" s="127">
        <v>12</v>
      </c>
      <c r="P259" s="128">
        <f t="shared" si="79"/>
        <v>279000</v>
      </c>
      <c r="Q259" s="128">
        <f t="shared" si="76"/>
        <v>3639936.395389914</v>
      </c>
      <c r="R259" s="128">
        <f t="shared" si="80"/>
        <v>169257.04238563101</v>
      </c>
      <c r="S259" s="128">
        <f t="shared" si="77"/>
        <v>109742.95761436899</v>
      </c>
      <c r="T259" s="129">
        <v>0.606656065898319</v>
      </c>
      <c r="U259" s="128"/>
      <c r="V259" s="127"/>
      <c r="W259" s="128">
        <f t="shared" si="74"/>
        <v>3639936.395389914</v>
      </c>
      <c r="X259" s="128">
        <f t="shared" si="74"/>
        <v>169257.04238563101</v>
      </c>
      <c r="Y259" s="130">
        <f t="shared" si="75"/>
        <v>3639936.395389914</v>
      </c>
      <c r="Z259" s="130">
        <f t="shared" si="75"/>
        <v>169257.04238563101</v>
      </c>
      <c r="AA259" s="130">
        <v>169257.04</v>
      </c>
      <c r="AB259" s="130"/>
      <c r="AC259" s="130">
        <f t="shared" si="81"/>
        <v>2.385630999924615E-3</v>
      </c>
      <c r="AD259" s="131">
        <v>0</v>
      </c>
      <c r="AE259" s="131">
        <f t="shared" si="92"/>
        <v>4.5603459974664085E-2</v>
      </c>
      <c r="AF259" s="131"/>
      <c r="AG259" s="132"/>
      <c r="AH259" s="132"/>
      <c r="AI259" s="132"/>
      <c r="AJ259" s="132"/>
      <c r="AK259" s="132"/>
      <c r="AL259" s="111">
        <f t="shared" si="72"/>
        <v>2.385630999924615E-3</v>
      </c>
      <c r="AM259" s="111"/>
      <c r="AN259" s="111"/>
      <c r="AO259" s="111"/>
      <c r="AP259" s="111">
        <f t="shared" si="68"/>
        <v>2.385630999924615E-3</v>
      </c>
      <c r="AQ259" s="111"/>
      <c r="AR259" s="111">
        <f t="shared" si="87"/>
        <v>2.385630999924615E-3</v>
      </c>
      <c r="AS259" s="111"/>
      <c r="AT259" s="111">
        <v>0</v>
      </c>
      <c r="AU259" s="111">
        <f t="shared" si="97"/>
        <v>2.385630999924615E-3</v>
      </c>
      <c r="AV259" s="111"/>
      <c r="AW259" s="111"/>
      <c r="AX259" s="111"/>
      <c r="AY259" s="111"/>
      <c r="AZ259" s="111"/>
      <c r="BA259" s="111">
        <f t="shared" si="88"/>
        <v>0</v>
      </c>
      <c r="BB259" s="111"/>
      <c r="BC259" s="111"/>
      <c r="BD259" s="111"/>
      <c r="BE259" s="111"/>
      <c r="BF259" s="111"/>
      <c r="BG259" s="111">
        <v>97875</v>
      </c>
      <c r="BH259" s="111">
        <f t="shared" si="85"/>
        <v>-97875</v>
      </c>
      <c r="BI259" s="111"/>
      <c r="BJ259" s="112">
        <f t="shared" si="96"/>
        <v>5.1303892471497095E-2</v>
      </c>
      <c r="BK259" s="134"/>
      <c r="BL259" s="134"/>
      <c r="BM259" s="135"/>
      <c r="BN259" s="135"/>
      <c r="BO259" s="135"/>
      <c r="BP259" s="135"/>
      <c r="BQ259" s="114">
        <f t="shared" si="73"/>
        <v>5.1303892471497095E-2</v>
      </c>
      <c r="BR259" s="114">
        <f t="shared" si="69"/>
        <v>5.8633019967425259E-2</v>
      </c>
      <c r="BS259" s="136"/>
      <c r="BT259" s="136"/>
      <c r="BU259" s="136"/>
      <c r="BV259" s="115">
        <f t="shared" si="70"/>
        <v>6.8405189961996127E-2</v>
      </c>
      <c r="BW259" s="115"/>
      <c r="BX259" s="116">
        <f t="shared" si="89"/>
        <v>0.106028044441094</v>
      </c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>
        <v>6000000</v>
      </c>
      <c r="CK259" s="116">
        <f>6000000-6000000</f>
        <v>0</v>
      </c>
      <c r="CL259" s="116"/>
      <c r="CM259" s="119"/>
    </row>
    <row r="260" spans="1:92" s="174" customFormat="1" ht="25.5" x14ac:dyDescent="0.2">
      <c r="B260" s="145">
        <f t="shared" si="86"/>
        <v>248</v>
      </c>
      <c r="C260" s="204" t="s">
        <v>463</v>
      </c>
      <c r="D260" s="224" t="s">
        <v>464</v>
      </c>
      <c r="E260" s="204" t="s">
        <v>161</v>
      </c>
      <c r="F260" s="148" t="s">
        <v>134</v>
      </c>
      <c r="G260" s="205">
        <v>43739</v>
      </c>
      <c r="H260" s="205">
        <v>43739</v>
      </c>
      <c r="I260" s="206">
        <v>10000000</v>
      </c>
      <c r="J260" s="207">
        <v>7.7499999999999999E-2</v>
      </c>
      <c r="K260" s="151">
        <v>7.2499999999999995E-2</v>
      </c>
      <c r="L260" s="220">
        <v>0.9</v>
      </c>
      <c r="M260" s="208">
        <v>2</v>
      </c>
      <c r="N260" s="208">
        <v>2</v>
      </c>
      <c r="O260" s="220">
        <v>12</v>
      </c>
      <c r="P260" s="208">
        <f t="shared" si="79"/>
        <v>116250</v>
      </c>
      <c r="Q260" s="208">
        <f t="shared" si="76"/>
        <v>6066560.6589831896</v>
      </c>
      <c r="R260" s="208">
        <f t="shared" si="80"/>
        <v>70523.767660679572</v>
      </c>
      <c r="S260" s="208">
        <f t="shared" si="77"/>
        <v>45726.232339320428</v>
      </c>
      <c r="T260" s="209">
        <v>0.606656065898319</v>
      </c>
      <c r="U260" s="208"/>
      <c r="V260" s="220"/>
      <c r="W260" s="208">
        <f t="shared" si="74"/>
        <v>6066560.6589831896</v>
      </c>
      <c r="X260" s="208">
        <f t="shared" si="74"/>
        <v>70523.767660679572</v>
      </c>
      <c r="Y260" s="210">
        <f t="shared" si="75"/>
        <v>6066560.6589831896</v>
      </c>
      <c r="Z260" s="210">
        <f t="shared" si="75"/>
        <v>70523.767660679572</v>
      </c>
      <c r="AA260" s="210">
        <v>70523.77</v>
      </c>
      <c r="AB260" s="210"/>
      <c r="AC260" s="210">
        <f t="shared" si="81"/>
        <v>-2.3393204319290817E-3</v>
      </c>
      <c r="AD260" s="211">
        <v>0</v>
      </c>
      <c r="AE260" s="211">
        <f t="shared" si="92"/>
        <v>-4.4718192247150901E-2</v>
      </c>
      <c r="AF260" s="211"/>
      <c r="AG260" s="198"/>
      <c r="AH260" s="198"/>
      <c r="AI260" s="198"/>
      <c r="AJ260" s="198"/>
      <c r="AK260" s="198"/>
      <c r="AL260" s="83">
        <f t="shared" si="72"/>
        <v>-2.3393204319290817E-3</v>
      </c>
      <c r="AM260" s="83"/>
      <c r="AN260" s="83"/>
      <c r="AO260" s="83"/>
      <c r="AP260" s="83">
        <f t="shared" si="68"/>
        <v>-2.3393204319290817E-3</v>
      </c>
      <c r="AQ260" s="83"/>
      <c r="AR260" s="83">
        <f t="shared" si="87"/>
        <v>-2.3393204319290817E-3</v>
      </c>
      <c r="AS260" s="83"/>
      <c r="AT260" s="83">
        <v>0</v>
      </c>
      <c r="AU260" s="83">
        <f t="shared" si="97"/>
        <v>-2.3393204319290817E-3</v>
      </c>
      <c r="AV260" s="83"/>
      <c r="AW260" s="83"/>
      <c r="AX260" s="83"/>
      <c r="AY260" s="83"/>
      <c r="AZ260" s="83"/>
      <c r="BA260" s="83">
        <f t="shared" si="88"/>
        <v>0</v>
      </c>
      <c r="BB260" s="83"/>
      <c r="BC260" s="83"/>
      <c r="BD260" s="83"/>
      <c r="BE260" s="83"/>
      <c r="BF260" s="83"/>
      <c r="BG260" s="83"/>
      <c r="BH260" s="83">
        <f t="shared" si="85"/>
        <v>0</v>
      </c>
      <c r="BI260" s="83">
        <f>CK260*K260*L260*N260/O260</f>
        <v>108750</v>
      </c>
      <c r="BJ260" s="212">
        <f t="shared" si="96"/>
        <v>-5.0307966278044763E-2</v>
      </c>
      <c r="BK260" s="213"/>
      <c r="BL260" s="213"/>
      <c r="BM260" s="214"/>
      <c r="BN260" s="214"/>
      <c r="BO260" s="214"/>
      <c r="BP260" s="214"/>
      <c r="BQ260" s="160">
        <f t="shared" si="73"/>
        <v>-5.0307966278044763E-2</v>
      </c>
      <c r="BR260" s="160">
        <f t="shared" si="69"/>
        <v>-5.7494818603479728E-2</v>
      </c>
      <c r="BS260" s="215"/>
      <c r="BT260" s="215"/>
      <c r="BU260" s="215"/>
      <c r="BV260" s="162">
        <f t="shared" si="70"/>
        <v>-6.7077288370726351E-2</v>
      </c>
      <c r="BW260" s="162"/>
      <c r="BX260" s="95">
        <f t="shared" si="89"/>
        <v>-0.10755496238754399</v>
      </c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>
        <v>10000000</v>
      </c>
      <c r="CL260" s="95"/>
      <c r="CM260" s="216"/>
    </row>
    <row r="261" spans="1:92" s="120" customFormat="1" ht="25.5" x14ac:dyDescent="0.2">
      <c r="B261" s="99">
        <f t="shared" si="86"/>
        <v>249</v>
      </c>
      <c r="C261" s="122" t="s">
        <v>463</v>
      </c>
      <c r="D261" s="123" t="s">
        <v>464</v>
      </c>
      <c r="E261" s="122"/>
      <c r="F261" s="100"/>
      <c r="G261" s="124"/>
      <c r="H261" s="124"/>
      <c r="I261" s="125"/>
      <c r="J261" s="126"/>
      <c r="K261" s="105">
        <v>7.4999999999999997E-2</v>
      </c>
      <c r="L261" s="106">
        <v>0.9</v>
      </c>
      <c r="M261" s="107">
        <v>9</v>
      </c>
      <c r="N261" s="107">
        <v>4</v>
      </c>
      <c r="O261" s="106">
        <v>12</v>
      </c>
      <c r="P261" s="128"/>
      <c r="Q261" s="128"/>
      <c r="R261" s="128"/>
      <c r="S261" s="128"/>
      <c r="T261" s="129"/>
      <c r="U261" s="128"/>
      <c r="V261" s="127"/>
      <c r="W261" s="128"/>
      <c r="X261" s="128"/>
      <c r="Y261" s="130"/>
      <c r="Z261" s="130"/>
      <c r="AA261" s="130"/>
      <c r="AB261" s="130"/>
      <c r="AC261" s="130"/>
      <c r="AD261" s="131"/>
      <c r="AE261" s="131"/>
      <c r="AF261" s="131"/>
      <c r="AG261" s="132"/>
      <c r="AH261" s="132"/>
      <c r="AI261" s="132"/>
      <c r="AJ261" s="132"/>
      <c r="AK261" s="132"/>
      <c r="AL261" s="111"/>
      <c r="AM261" s="111"/>
      <c r="AN261" s="111"/>
      <c r="AO261" s="111"/>
      <c r="AP261" s="111"/>
      <c r="AQ261" s="111"/>
      <c r="AR261" s="111">
        <f t="shared" si="87"/>
        <v>0</v>
      </c>
      <c r="AS261" s="111"/>
      <c r="AT261" s="111">
        <v>0</v>
      </c>
      <c r="AU261" s="111">
        <f t="shared" si="97"/>
        <v>0</v>
      </c>
      <c r="AV261" s="111"/>
      <c r="AW261" s="111"/>
      <c r="AX261" s="111"/>
      <c r="AY261" s="111"/>
      <c r="AZ261" s="111"/>
      <c r="BA261" s="300">
        <f t="shared" ref="BA261" si="102">CL261*7.25%*0.9*3.5/12</f>
        <v>190312.5</v>
      </c>
      <c r="BB261" s="111"/>
      <c r="BC261" s="111"/>
      <c r="BD261" s="111"/>
      <c r="BE261" s="111"/>
      <c r="BF261" s="111"/>
      <c r="BG261" s="111"/>
      <c r="BH261" s="111">
        <f t="shared" si="85"/>
        <v>190312.5</v>
      </c>
      <c r="BI261" s="111"/>
      <c r="BJ261" s="133"/>
      <c r="BK261" s="134"/>
      <c r="BL261" s="134"/>
      <c r="BM261" s="135"/>
      <c r="BN261" s="135"/>
      <c r="BO261" s="135"/>
      <c r="BP261" s="135"/>
      <c r="BQ261" s="114"/>
      <c r="BR261" s="114"/>
      <c r="BS261" s="136"/>
      <c r="BT261" s="136"/>
      <c r="BU261" s="136"/>
      <c r="BV261" s="115"/>
      <c r="BW261" s="115"/>
      <c r="BX261" s="116">
        <f t="shared" si="89"/>
        <v>0</v>
      </c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>
        <v>0</v>
      </c>
      <c r="CL261" s="116">
        <v>10000000</v>
      </c>
      <c r="CM261" s="119" t="s">
        <v>135</v>
      </c>
      <c r="CN261" s="120" t="s">
        <v>109</v>
      </c>
    </row>
    <row r="262" spans="1:92" s="120" customFormat="1" ht="25.5" x14ac:dyDescent="0.2">
      <c r="A262" s="120">
        <f>A258+1</f>
        <v>127</v>
      </c>
      <c r="B262" s="99">
        <f t="shared" si="86"/>
        <v>250</v>
      </c>
      <c r="C262" s="122" t="s">
        <v>465</v>
      </c>
      <c r="D262" s="123" t="s">
        <v>466</v>
      </c>
      <c r="E262" s="122" t="s">
        <v>467</v>
      </c>
      <c r="F262" s="100" t="s">
        <v>134</v>
      </c>
      <c r="G262" s="124">
        <v>43497</v>
      </c>
      <c r="H262" s="124">
        <v>43497</v>
      </c>
      <c r="I262" s="125">
        <v>8000000</v>
      </c>
      <c r="J262" s="126">
        <v>7.7499999999999999E-2</v>
      </c>
      <c r="K262" s="105">
        <v>7.4999999999999997E-2</v>
      </c>
      <c r="L262" s="127">
        <v>0.9</v>
      </c>
      <c r="M262" s="128">
        <v>10</v>
      </c>
      <c r="N262" s="128"/>
      <c r="O262" s="127">
        <v>12</v>
      </c>
      <c r="P262" s="128">
        <f t="shared" si="79"/>
        <v>465000</v>
      </c>
      <c r="Q262" s="128">
        <f t="shared" si="76"/>
        <v>4853248.5271865521</v>
      </c>
      <c r="R262" s="128">
        <f t="shared" si="80"/>
        <v>282095.07064271835</v>
      </c>
      <c r="S262" s="128">
        <f t="shared" si="77"/>
        <v>182904.92935728165</v>
      </c>
      <c r="T262" s="129">
        <v>0.606656065898319</v>
      </c>
      <c r="U262" s="128"/>
      <c r="V262" s="127"/>
      <c r="W262" s="128">
        <f t="shared" si="74"/>
        <v>4853248.5271865521</v>
      </c>
      <c r="X262" s="128">
        <f t="shared" si="74"/>
        <v>282095.07064271835</v>
      </c>
      <c r="Y262" s="130">
        <f t="shared" si="75"/>
        <v>4853248.5271865521</v>
      </c>
      <c r="Z262" s="130">
        <f>SUM(X262)-56875.88</f>
        <v>225219.19064271834</v>
      </c>
      <c r="AA262" s="130">
        <f>464999.99-AA263-AA264</f>
        <v>225219.18999999994</v>
      </c>
      <c r="AB262" s="130"/>
      <c r="AC262" s="130">
        <f t="shared" si="81"/>
        <v>6.4271839801222086E-4</v>
      </c>
      <c r="AD262" s="131">
        <v>1.1854261159896851E-2</v>
      </c>
      <c r="AE262" s="131">
        <f t="shared" si="92"/>
        <v>1.228613425112967E-2</v>
      </c>
      <c r="AF262" s="131"/>
      <c r="AG262" s="132"/>
      <c r="AH262" s="132"/>
      <c r="AI262" s="132"/>
      <c r="AJ262" s="132"/>
      <c r="AK262" s="132"/>
      <c r="AL262" s="111">
        <f t="shared" si="72"/>
        <v>6.4271839801222086E-4</v>
      </c>
      <c r="AM262" s="111"/>
      <c r="AN262" s="111"/>
      <c r="AO262" s="111"/>
      <c r="AP262" s="111">
        <f t="shared" ref="AP262:AP327" si="103">AL262-AM262-AN262-AO262</f>
        <v>6.4271839801222086E-4</v>
      </c>
      <c r="AQ262" s="111"/>
      <c r="AR262" s="111">
        <f t="shared" si="87"/>
        <v>6.4271839801222086E-4</v>
      </c>
      <c r="AS262" s="111"/>
      <c r="AT262" s="111">
        <v>0</v>
      </c>
      <c r="AU262" s="111">
        <f t="shared" si="97"/>
        <v>6.4271839801222086E-4</v>
      </c>
      <c r="AV262" s="111"/>
      <c r="AW262" s="111"/>
      <c r="AX262" s="111"/>
      <c r="AY262" s="111"/>
      <c r="AZ262" s="111"/>
      <c r="BA262" s="111">
        <f t="shared" si="88"/>
        <v>0</v>
      </c>
      <c r="BB262" s="111"/>
      <c r="BC262" s="111"/>
      <c r="BD262" s="111"/>
      <c r="BE262" s="111"/>
      <c r="BF262" s="111"/>
      <c r="BG262" s="111"/>
      <c r="BH262" s="111">
        <f t="shared" si="85"/>
        <v>0</v>
      </c>
      <c r="BI262" s="111"/>
      <c r="BJ262" s="112">
        <f t="shared" si="96"/>
        <v>1.3821901032520879E-2</v>
      </c>
      <c r="BK262" s="134"/>
      <c r="BL262" s="134"/>
      <c r="BM262" s="135"/>
      <c r="BN262" s="135"/>
      <c r="BO262" s="135"/>
      <c r="BP262" s="135"/>
      <c r="BQ262" s="114">
        <f t="shared" si="73"/>
        <v>1.3821901032520879E-2</v>
      </c>
      <c r="BR262" s="114">
        <f t="shared" ref="BR262:BR327" si="104">AL262/J262/L262/7*O262</f>
        <v>1.5796458322881006E-2</v>
      </c>
      <c r="BS262" s="136"/>
      <c r="BT262" s="136"/>
      <c r="BU262" s="136"/>
      <c r="BV262" s="115">
        <f t="shared" ref="BV262:BV327" si="105">AP262/J262/L262/6*O262</f>
        <v>1.8429201376694505E-2</v>
      </c>
      <c r="BW262" s="115"/>
      <c r="BX262" s="116">
        <f t="shared" si="89"/>
        <v>2.8565262133876484E-2</v>
      </c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>
        <v>0</v>
      </c>
      <c r="CL262" s="116"/>
      <c r="CM262" s="119"/>
    </row>
    <row r="263" spans="1:92" s="120" customFormat="1" ht="25.5" x14ac:dyDescent="0.2">
      <c r="B263" s="99">
        <f t="shared" si="86"/>
        <v>251</v>
      </c>
      <c r="C263" s="122" t="s">
        <v>465</v>
      </c>
      <c r="D263" s="123" t="s">
        <v>466</v>
      </c>
      <c r="E263" s="122" t="s">
        <v>161</v>
      </c>
      <c r="F263" s="100" t="s">
        <v>134</v>
      </c>
      <c r="G263" s="124">
        <v>43556</v>
      </c>
      <c r="H263" s="124" t="s">
        <v>97</v>
      </c>
      <c r="I263" s="125">
        <v>6000000</v>
      </c>
      <c r="J263" s="126">
        <v>7.7499999999999999E-2</v>
      </c>
      <c r="K263" s="105">
        <v>7.4999999999999997E-2</v>
      </c>
      <c r="L263" s="127">
        <v>0.9</v>
      </c>
      <c r="M263" s="128">
        <v>8</v>
      </c>
      <c r="N263" s="128"/>
      <c r="O263" s="127">
        <v>12</v>
      </c>
      <c r="P263" s="128">
        <f t="shared" si="79"/>
        <v>279000</v>
      </c>
      <c r="Q263" s="128">
        <f t="shared" si="76"/>
        <v>3639936.395389914</v>
      </c>
      <c r="R263" s="128">
        <f t="shared" si="80"/>
        <v>169257.04238563101</v>
      </c>
      <c r="S263" s="128">
        <f t="shared" si="77"/>
        <v>109742.95761436899</v>
      </c>
      <c r="T263" s="129">
        <v>0.606656065898319</v>
      </c>
      <c r="U263" s="128"/>
      <c r="V263" s="127"/>
      <c r="W263" s="128">
        <f t="shared" si="74"/>
        <v>3639936.395389914</v>
      </c>
      <c r="X263" s="128">
        <f t="shared" si="74"/>
        <v>169257.04238563101</v>
      </c>
      <c r="Y263" s="130">
        <f t="shared" si="75"/>
        <v>3639936.395389914</v>
      </c>
      <c r="Z263" s="130">
        <f t="shared" si="75"/>
        <v>169257.04238563101</v>
      </c>
      <c r="AA263" s="130">
        <v>169257.04</v>
      </c>
      <c r="AB263" s="130"/>
      <c r="AC263" s="130">
        <f t="shared" si="81"/>
        <v>2.385630999924615E-3</v>
      </c>
      <c r="AD263" s="131">
        <v>0</v>
      </c>
      <c r="AE263" s="131">
        <f t="shared" si="92"/>
        <v>4.5603459974664085E-2</v>
      </c>
      <c r="AF263" s="131"/>
      <c r="AG263" s="132"/>
      <c r="AH263" s="132"/>
      <c r="AI263" s="132"/>
      <c r="AJ263" s="132"/>
      <c r="AK263" s="132"/>
      <c r="AL263" s="111">
        <f t="shared" ref="AL263:AL327" si="106">AC263+AG263-AF263-AH263-AI263-AJ263-AK263</f>
        <v>2.385630999924615E-3</v>
      </c>
      <c r="AM263" s="111"/>
      <c r="AN263" s="111"/>
      <c r="AO263" s="111"/>
      <c r="AP263" s="111">
        <f t="shared" si="103"/>
        <v>2.385630999924615E-3</v>
      </c>
      <c r="AQ263" s="111"/>
      <c r="AR263" s="111">
        <f t="shared" si="87"/>
        <v>2.385630999924615E-3</v>
      </c>
      <c r="AS263" s="111"/>
      <c r="AT263" s="111">
        <v>0</v>
      </c>
      <c r="AU263" s="111">
        <f t="shared" si="97"/>
        <v>2.385630999924615E-3</v>
      </c>
      <c r="AV263" s="111"/>
      <c r="AW263" s="111"/>
      <c r="AX263" s="111"/>
      <c r="AY263" s="111"/>
      <c r="AZ263" s="111"/>
      <c r="BA263" s="111">
        <f t="shared" si="88"/>
        <v>0</v>
      </c>
      <c r="BB263" s="111"/>
      <c r="BC263" s="111"/>
      <c r="BD263" s="111"/>
      <c r="BE263" s="111"/>
      <c r="BF263" s="111"/>
      <c r="BG263" s="111">
        <v>130500</v>
      </c>
      <c r="BH263" s="111">
        <f t="shared" si="85"/>
        <v>-130500</v>
      </c>
      <c r="BI263" s="111"/>
      <c r="BJ263" s="112">
        <f t="shared" si="96"/>
        <v>5.1303892471497095E-2</v>
      </c>
      <c r="BK263" s="134"/>
      <c r="BL263" s="134"/>
      <c r="BM263" s="135"/>
      <c r="BN263" s="135"/>
      <c r="BO263" s="135"/>
      <c r="BP263" s="135"/>
      <c r="BQ263" s="114">
        <f t="shared" ref="BQ263:BQ327" si="107">BJ263-BK263+BL263-BM263-BN263-BO263-BP263</f>
        <v>5.1303892471497095E-2</v>
      </c>
      <c r="BR263" s="114">
        <f t="shared" si="104"/>
        <v>5.8633019967425259E-2</v>
      </c>
      <c r="BS263" s="136"/>
      <c r="BT263" s="136"/>
      <c r="BU263" s="136"/>
      <c r="BV263" s="115">
        <f t="shared" si="105"/>
        <v>6.8405189961996127E-2</v>
      </c>
      <c r="BW263" s="115"/>
      <c r="BX263" s="116">
        <f t="shared" si="89"/>
        <v>0.106028044441094</v>
      </c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>
        <v>8000000</v>
      </c>
      <c r="CK263" s="116">
        <f>8000000-8000000</f>
        <v>0</v>
      </c>
      <c r="CL263" s="116"/>
      <c r="CM263" s="119"/>
    </row>
    <row r="264" spans="1:92" s="174" customFormat="1" ht="33.75" customHeight="1" x14ac:dyDescent="0.2">
      <c r="B264" s="145">
        <f t="shared" si="86"/>
        <v>252</v>
      </c>
      <c r="C264" s="204" t="s">
        <v>465</v>
      </c>
      <c r="D264" s="224" t="s">
        <v>466</v>
      </c>
      <c r="E264" s="204" t="s">
        <v>161</v>
      </c>
      <c r="F264" s="148" t="s">
        <v>134</v>
      </c>
      <c r="G264" s="205">
        <v>43739</v>
      </c>
      <c r="H264" s="205">
        <v>43739</v>
      </c>
      <c r="I264" s="206">
        <v>10000000</v>
      </c>
      <c r="J264" s="207">
        <v>7.7499999999999999E-2</v>
      </c>
      <c r="K264" s="151">
        <v>7.2499999999999995E-2</v>
      </c>
      <c r="L264" s="220">
        <v>0.9</v>
      </c>
      <c r="M264" s="208">
        <v>2</v>
      </c>
      <c r="N264" s="208">
        <v>2</v>
      </c>
      <c r="O264" s="220">
        <v>12</v>
      </c>
      <c r="P264" s="208">
        <f t="shared" si="79"/>
        <v>116250</v>
      </c>
      <c r="Q264" s="208">
        <f t="shared" si="76"/>
        <v>6066560.6589831896</v>
      </c>
      <c r="R264" s="208">
        <f t="shared" si="80"/>
        <v>70523.767660679572</v>
      </c>
      <c r="S264" s="208">
        <f t="shared" si="77"/>
        <v>45726.232339320428</v>
      </c>
      <c r="T264" s="209">
        <v>0.606656065898319</v>
      </c>
      <c r="U264" s="208"/>
      <c r="V264" s="220"/>
      <c r="W264" s="208">
        <f t="shared" ref="W264:X325" si="108">Q264-U264</f>
        <v>6066560.6589831896</v>
      </c>
      <c r="X264" s="208">
        <f t="shared" si="108"/>
        <v>70523.767660679572</v>
      </c>
      <c r="Y264" s="210">
        <f t="shared" ref="Y264:Z327" si="109">SUM(W264)</f>
        <v>6066560.6589831896</v>
      </c>
      <c r="Z264" s="210">
        <f t="shared" si="109"/>
        <v>70523.767660679572</v>
      </c>
      <c r="AA264" s="210">
        <v>70523.759999999995</v>
      </c>
      <c r="AB264" s="210"/>
      <c r="AC264" s="210">
        <f t="shared" si="81"/>
        <v>7.6606795773841441E-3</v>
      </c>
      <c r="AD264" s="211">
        <v>0</v>
      </c>
      <c r="AE264" s="211">
        <f t="shared" si="92"/>
        <v>0.14644070876719989</v>
      </c>
      <c r="AF264" s="211"/>
      <c r="AG264" s="198"/>
      <c r="AH264" s="198"/>
      <c r="AI264" s="198"/>
      <c r="AJ264" s="198"/>
      <c r="AK264" s="198"/>
      <c r="AL264" s="83">
        <f t="shared" si="106"/>
        <v>7.6606795773841441E-3</v>
      </c>
      <c r="AM264" s="83"/>
      <c r="AN264" s="83"/>
      <c r="AO264" s="83"/>
      <c r="AP264" s="83">
        <f t="shared" si="103"/>
        <v>7.6606795773841441E-3</v>
      </c>
      <c r="AQ264" s="83"/>
      <c r="AR264" s="83">
        <f t="shared" si="87"/>
        <v>7.6606795773841441E-3</v>
      </c>
      <c r="AS264" s="83"/>
      <c r="AT264" s="83">
        <v>0</v>
      </c>
      <c r="AU264" s="83">
        <f t="shared" si="97"/>
        <v>7.6606795773841441E-3</v>
      </c>
      <c r="AV264" s="83"/>
      <c r="AW264" s="83"/>
      <c r="AX264" s="83"/>
      <c r="AY264" s="83"/>
      <c r="AZ264" s="83"/>
      <c r="BA264" s="83">
        <f t="shared" si="88"/>
        <v>0</v>
      </c>
      <c r="BB264" s="83"/>
      <c r="BC264" s="83"/>
      <c r="BD264" s="83"/>
      <c r="BE264" s="83"/>
      <c r="BF264" s="83"/>
      <c r="BG264" s="83"/>
      <c r="BH264" s="83">
        <f t="shared" si="85"/>
        <v>0</v>
      </c>
      <c r="BI264" s="83">
        <f>CK264*K264*L264*N264/O264</f>
        <v>87000</v>
      </c>
      <c r="BJ264" s="159">
        <f t="shared" si="96"/>
        <v>0.16474579736309988</v>
      </c>
      <c r="BK264" s="213"/>
      <c r="BL264" s="213"/>
      <c r="BM264" s="214"/>
      <c r="BN264" s="214"/>
      <c r="BO264" s="214"/>
      <c r="BP264" s="214"/>
      <c r="BQ264" s="160">
        <f t="shared" si="107"/>
        <v>0.16474579736309988</v>
      </c>
      <c r="BR264" s="160">
        <f t="shared" si="104"/>
        <v>0.18828091127211413</v>
      </c>
      <c r="BS264" s="215"/>
      <c r="BT264" s="215"/>
      <c r="BU264" s="215"/>
      <c r="BV264" s="162">
        <f t="shared" si="105"/>
        <v>0.21966106315079983</v>
      </c>
      <c r="BW264" s="162"/>
      <c r="BX264" s="95">
        <f t="shared" si="89"/>
        <v>0.35221515298317907</v>
      </c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>
        <v>8000000</v>
      </c>
      <c r="CL264" s="95"/>
      <c r="CM264" s="216"/>
    </row>
    <row r="265" spans="1:92" s="2" customFormat="1" ht="24.75" customHeight="1" x14ac:dyDescent="0.2">
      <c r="A265" s="2">
        <f>A262+1</f>
        <v>128</v>
      </c>
      <c r="B265" s="145">
        <f t="shared" si="86"/>
        <v>253</v>
      </c>
      <c r="C265" s="148" t="s">
        <v>468</v>
      </c>
      <c r="D265" s="164" t="s">
        <v>469</v>
      </c>
      <c r="E265" s="148" t="s">
        <v>95</v>
      </c>
      <c r="F265" s="148" t="s">
        <v>96</v>
      </c>
      <c r="G265" s="149">
        <v>43525</v>
      </c>
      <c r="H265" s="251" t="s">
        <v>148</v>
      </c>
      <c r="I265" s="150">
        <v>2000000</v>
      </c>
      <c r="J265" s="151">
        <v>7.7499999999999999E-2</v>
      </c>
      <c r="K265" s="151">
        <v>7.2499999999999995E-2</v>
      </c>
      <c r="L265" s="152">
        <v>0.9</v>
      </c>
      <c r="M265" s="153">
        <v>9</v>
      </c>
      <c r="N265" s="153">
        <v>2.5</v>
      </c>
      <c r="O265" s="152">
        <v>12</v>
      </c>
      <c r="P265" s="153">
        <f t="shared" ref="P265:P327" si="110">I265*J265*L265*M265/O265</f>
        <v>104625</v>
      </c>
      <c r="Q265" s="153">
        <f t="shared" ref="Q265:Q327" si="111">I265*0.606656065898319</f>
        <v>1213312.131796638</v>
      </c>
      <c r="R265" s="153">
        <f t="shared" ref="R265:R327" si="112">Q265*J265*L265*M265/O265</f>
        <v>63471.390894611628</v>
      </c>
      <c r="S265" s="153">
        <f t="shared" ref="S265:S327" si="113">P265-R265</f>
        <v>41153.609105388372</v>
      </c>
      <c r="T265" s="154">
        <v>0.606656065898319</v>
      </c>
      <c r="U265" s="153"/>
      <c r="V265" s="152"/>
      <c r="W265" s="153">
        <f t="shared" si="108"/>
        <v>1213312.131796638</v>
      </c>
      <c r="X265" s="153">
        <f t="shared" si="108"/>
        <v>63471.390894611628</v>
      </c>
      <c r="Y265" s="155">
        <f t="shared" si="109"/>
        <v>1213312.131796638</v>
      </c>
      <c r="Z265" s="155">
        <f t="shared" si="109"/>
        <v>63471.390894611628</v>
      </c>
      <c r="AA265" s="155"/>
      <c r="AB265" s="155"/>
      <c r="AC265" s="155">
        <f t="shared" si="81"/>
        <v>63471.390894611628</v>
      </c>
      <c r="AD265" s="156">
        <v>1091980.9186169743</v>
      </c>
      <c r="AE265" s="156">
        <f t="shared" si="92"/>
        <v>1213312.131796638</v>
      </c>
      <c r="AF265" s="156">
        <v>46500</v>
      </c>
      <c r="AG265" s="83">
        <v>0</v>
      </c>
      <c r="AH265" s="83"/>
      <c r="AI265" s="83"/>
      <c r="AJ265" s="83"/>
      <c r="AK265" s="83"/>
      <c r="AL265" s="83">
        <f t="shared" si="106"/>
        <v>16971.390894611628</v>
      </c>
      <c r="AM265" s="83"/>
      <c r="AN265" s="83"/>
      <c r="AO265" s="83"/>
      <c r="AP265" s="83">
        <f t="shared" si="103"/>
        <v>16971.390894611628</v>
      </c>
      <c r="AQ265" s="83"/>
      <c r="AR265" s="83">
        <f t="shared" si="87"/>
        <v>16971.390894611628</v>
      </c>
      <c r="AS265" s="83"/>
      <c r="AT265" s="83">
        <f>BY265*K265*L265*N265/O265</f>
        <v>13593.75</v>
      </c>
      <c r="AU265" s="83">
        <f t="shared" si="97"/>
        <v>3377.640894611628</v>
      </c>
      <c r="AV265" s="83"/>
      <c r="AW265" s="83"/>
      <c r="AX265" s="83"/>
      <c r="AY265" s="83">
        <v>16875</v>
      </c>
      <c r="AZ265" s="83"/>
      <c r="BA265" s="83">
        <f t="shared" si="88"/>
        <v>16875</v>
      </c>
      <c r="BB265" s="83"/>
      <c r="BC265" s="83"/>
      <c r="BD265" s="83"/>
      <c r="BE265" s="83"/>
      <c r="BF265" s="83"/>
      <c r="BG265" s="83"/>
      <c r="BH265" s="83">
        <f t="shared" ref="BH265:BH325" si="114">BA265-BB265-BC265-BD265-BE265-BF265-BG265</f>
        <v>16875</v>
      </c>
      <c r="BI265" s="83">
        <f>CK265*K265*L265*N265/O265</f>
        <v>13593.75</v>
      </c>
      <c r="BJ265" s="159">
        <f t="shared" si="96"/>
        <v>1364976.1482712177</v>
      </c>
      <c r="BK265" s="320">
        <v>1000000</v>
      </c>
      <c r="BL265" s="321">
        <v>-364976.15</v>
      </c>
      <c r="BM265" s="89"/>
      <c r="BN265" s="89"/>
      <c r="BO265" s="89"/>
      <c r="BP265" s="89"/>
      <c r="BQ265" s="160">
        <f t="shared" si="107"/>
        <v>-1.728782313875854E-3</v>
      </c>
      <c r="BR265" s="160">
        <f t="shared" si="104"/>
        <v>417115.59802424896</v>
      </c>
      <c r="BS265" s="161"/>
      <c r="BT265" s="161"/>
      <c r="BU265" s="161"/>
      <c r="BV265" s="162">
        <f t="shared" si="105"/>
        <v>486634.86436162377</v>
      </c>
      <c r="BW265" s="162"/>
      <c r="BX265" s="95">
        <f t="shared" si="89"/>
        <v>780293.83423501742</v>
      </c>
      <c r="BY265" s="95">
        <v>1000000</v>
      </c>
      <c r="BZ265" s="95"/>
      <c r="CA265" s="95"/>
      <c r="CB265" s="95"/>
      <c r="CC265" s="95"/>
      <c r="CD265" s="95">
        <v>1000000</v>
      </c>
      <c r="CE265" s="95"/>
      <c r="CF265" s="95"/>
      <c r="CG265" s="95"/>
      <c r="CH265" s="95"/>
      <c r="CI265" s="95"/>
      <c r="CJ265" s="95"/>
      <c r="CK265" s="95">
        <v>1000000</v>
      </c>
      <c r="CL265" s="95">
        <v>1000000</v>
      </c>
      <c r="CM265" s="216" t="s">
        <v>105</v>
      </c>
      <c r="CN265" s="174" t="s">
        <v>106</v>
      </c>
    </row>
    <row r="266" spans="1:92" s="118" customFormat="1" ht="30" customHeight="1" x14ac:dyDescent="0.2">
      <c r="A266" s="118">
        <f>A265+1</f>
        <v>129</v>
      </c>
      <c r="B266" s="99">
        <f t="shared" ref="B266:B327" si="115">B265+1</f>
        <v>254</v>
      </c>
      <c r="C266" s="100" t="s">
        <v>470</v>
      </c>
      <c r="D266" s="101" t="s">
        <v>471</v>
      </c>
      <c r="E266" s="100" t="s">
        <v>95</v>
      </c>
      <c r="F266" s="100" t="s">
        <v>134</v>
      </c>
      <c r="G266" s="103">
        <v>43497</v>
      </c>
      <c r="H266" s="103">
        <v>43497</v>
      </c>
      <c r="I266" s="104">
        <v>8000000</v>
      </c>
      <c r="J266" s="105">
        <v>7.7499999999999999E-2</v>
      </c>
      <c r="K266" s="105">
        <v>7.4999999999999997E-2</v>
      </c>
      <c r="L266" s="106">
        <v>0.9</v>
      </c>
      <c r="M266" s="107">
        <v>10</v>
      </c>
      <c r="N266" s="107"/>
      <c r="O266" s="106">
        <v>12</v>
      </c>
      <c r="P266" s="107">
        <f t="shared" si="110"/>
        <v>465000</v>
      </c>
      <c r="Q266" s="107">
        <f t="shared" si="111"/>
        <v>4853248.5271865521</v>
      </c>
      <c r="R266" s="107">
        <f t="shared" si="112"/>
        <v>282095.07064271835</v>
      </c>
      <c r="S266" s="107">
        <f t="shared" si="113"/>
        <v>182904.92935728165</v>
      </c>
      <c r="T266" s="108">
        <v>0.606656065898319</v>
      </c>
      <c r="U266" s="107"/>
      <c r="V266" s="106"/>
      <c r="W266" s="107">
        <f t="shared" si="108"/>
        <v>4853248.5271865521</v>
      </c>
      <c r="X266" s="107">
        <f t="shared" si="108"/>
        <v>282095.07064271835</v>
      </c>
      <c r="Y266" s="109">
        <f t="shared" si="109"/>
        <v>4853248.5271865521</v>
      </c>
      <c r="Z266" s="109">
        <f t="shared" si="109"/>
        <v>282095.07064271835</v>
      </c>
      <c r="AA266" s="109">
        <v>282080.62</v>
      </c>
      <c r="AB266" s="109"/>
      <c r="AC266" s="109">
        <f t="shared" si="81"/>
        <v>14.450642718351446</v>
      </c>
      <c r="AD266" s="110">
        <v>248.52718655206263</v>
      </c>
      <c r="AE266" s="110">
        <f t="shared" si="92"/>
        <v>276.23689784184364</v>
      </c>
      <c r="AF266" s="110"/>
      <c r="AG266" s="111"/>
      <c r="AH266" s="111"/>
      <c r="AI266" s="111"/>
      <c r="AJ266" s="111"/>
      <c r="AK266" s="111"/>
      <c r="AL266" s="111">
        <f t="shared" si="106"/>
        <v>14.450642718351446</v>
      </c>
      <c r="AM266" s="111"/>
      <c r="AN266" s="111"/>
      <c r="AO266" s="111"/>
      <c r="AP266" s="111">
        <f t="shared" si="103"/>
        <v>14.450642718351446</v>
      </c>
      <c r="AQ266" s="111"/>
      <c r="AR266" s="111">
        <f t="shared" si="87"/>
        <v>14.450642718351446</v>
      </c>
      <c r="AS266" s="111"/>
      <c r="AT266" s="111">
        <v>0</v>
      </c>
      <c r="AU266" s="111">
        <f t="shared" si="97"/>
        <v>14.450642718351446</v>
      </c>
      <c r="AV266" s="111"/>
      <c r="AW266" s="111"/>
      <c r="AX266" s="111"/>
      <c r="AY266" s="111"/>
      <c r="AZ266" s="111"/>
      <c r="BA266" s="111">
        <f t="shared" ref="BA266:BA327" si="116">AY266-AZ266</f>
        <v>0</v>
      </c>
      <c r="BB266" s="111"/>
      <c r="BC266" s="111"/>
      <c r="BD266" s="111"/>
      <c r="BE266" s="111"/>
      <c r="BF266" s="111"/>
      <c r="BG266" s="111"/>
      <c r="BH266" s="111">
        <f t="shared" si="114"/>
        <v>0</v>
      </c>
      <c r="BI266" s="111"/>
      <c r="BJ266" s="112">
        <f t="shared" si="96"/>
        <v>310.76651007207408</v>
      </c>
      <c r="BK266" s="112"/>
      <c r="BL266" s="112"/>
      <c r="BM266" s="113"/>
      <c r="BN266" s="113"/>
      <c r="BO266" s="113"/>
      <c r="BP266" s="113"/>
      <c r="BQ266" s="114">
        <f t="shared" si="107"/>
        <v>310.76651007207408</v>
      </c>
      <c r="BR266" s="114">
        <f t="shared" si="104"/>
        <v>355.16172579665613</v>
      </c>
      <c r="BS266" s="98"/>
      <c r="BT266" s="98"/>
      <c r="BU266" s="98"/>
      <c r="BV266" s="115">
        <f t="shared" si="105"/>
        <v>414.35534676276546</v>
      </c>
      <c r="BW266" s="115"/>
      <c r="BX266" s="116">
        <f t="shared" si="89"/>
        <v>642.25078748228657</v>
      </c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7"/>
    </row>
    <row r="267" spans="1:92" s="2" customFormat="1" ht="25.5" x14ac:dyDescent="0.2">
      <c r="B267" s="145">
        <f t="shared" si="115"/>
        <v>255</v>
      </c>
      <c r="C267" s="148" t="s">
        <v>470</v>
      </c>
      <c r="D267" s="164" t="s">
        <v>471</v>
      </c>
      <c r="E267" s="148" t="s">
        <v>161</v>
      </c>
      <c r="F267" s="148" t="s">
        <v>134</v>
      </c>
      <c r="G267" s="149"/>
      <c r="H267" s="149" t="s">
        <v>124</v>
      </c>
      <c r="I267" s="150">
        <v>0</v>
      </c>
      <c r="J267" s="151"/>
      <c r="K267" s="151">
        <v>7.2499999999999995E-2</v>
      </c>
      <c r="L267" s="152">
        <v>0.9</v>
      </c>
      <c r="M267" s="153">
        <v>9</v>
      </c>
      <c r="N267" s="153">
        <v>2</v>
      </c>
      <c r="O267" s="152">
        <v>12</v>
      </c>
      <c r="P267" s="153"/>
      <c r="Q267" s="153"/>
      <c r="R267" s="153"/>
      <c r="S267" s="153"/>
      <c r="T267" s="154"/>
      <c r="U267" s="153"/>
      <c r="V267" s="152"/>
      <c r="W267" s="153"/>
      <c r="X267" s="153"/>
      <c r="Y267" s="155"/>
      <c r="Z267" s="155"/>
      <c r="AA267" s="155"/>
      <c r="AB267" s="155"/>
      <c r="AC267" s="155"/>
      <c r="AD267" s="156"/>
      <c r="AE267" s="156"/>
      <c r="AF267" s="156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>
        <f t="shared" ref="AR267:AR327" si="117">AP267-AQ267</f>
        <v>0</v>
      </c>
      <c r="AS267" s="83"/>
      <c r="AT267" s="83">
        <v>0</v>
      </c>
      <c r="AU267" s="83">
        <f t="shared" si="97"/>
        <v>0</v>
      </c>
      <c r="AV267" s="83"/>
      <c r="AW267" s="83"/>
      <c r="AX267" s="83"/>
      <c r="AY267" s="83"/>
      <c r="AZ267" s="83"/>
      <c r="BA267" s="368">
        <f t="shared" ref="BA267" si="118">CL267*7.25%*0.9*3.5/12</f>
        <v>190312.5</v>
      </c>
      <c r="BB267" s="83"/>
      <c r="BC267" s="83"/>
      <c r="BD267" s="83"/>
      <c r="BE267" s="83"/>
      <c r="BF267" s="83"/>
      <c r="BG267" s="83"/>
      <c r="BH267" s="83">
        <f t="shared" si="114"/>
        <v>190312.5</v>
      </c>
      <c r="BI267" s="83">
        <f>CK267*K267*L267*N267/O267</f>
        <v>108750</v>
      </c>
      <c r="BJ267" s="159"/>
      <c r="BK267" s="159"/>
      <c r="BL267" s="159"/>
      <c r="BM267" s="89"/>
      <c r="BN267" s="89"/>
      <c r="BO267" s="89"/>
      <c r="BP267" s="89"/>
      <c r="BQ267" s="160"/>
      <c r="BR267" s="160"/>
      <c r="BS267" s="161"/>
      <c r="BT267" s="161"/>
      <c r="BU267" s="161"/>
      <c r="BV267" s="162"/>
      <c r="BW267" s="162"/>
      <c r="BX267" s="95">
        <f t="shared" ref="BX267:BX327" si="119">AR267/K267/L267/4*O267</f>
        <v>0</v>
      </c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>
        <v>10000000</v>
      </c>
      <c r="CL267" s="95">
        <v>10000000</v>
      </c>
      <c r="CM267" s="170" t="s">
        <v>135</v>
      </c>
      <c r="CN267" s="171" t="s">
        <v>184</v>
      </c>
    </row>
    <row r="268" spans="1:92" s="120" customFormat="1" ht="99.75" customHeight="1" x14ac:dyDescent="0.2">
      <c r="A268" s="120">
        <f>A266+1</f>
        <v>130</v>
      </c>
      <c r="B268" s="99">
        <f t="shared" si="115"/>
        <v>256</v>
      </c>
      <c r="C268" s="323" t="s">
        <v>472</v>
      </c>
      <c r="D268" s="324" t="s">
        <v>473</v>
      </c>
      <c r="E268" s="325" t="s">
        <v>474</v>
      </c>
      <c r="F268" s="326" t="s">
        <v>96</v>
      </c>
      <c r="G268" s="327">
        <v>43497</v>
      </c>
      <c r="H268" s="327">
        <v>43497</v>
      </c>
      <c r="I268" s="128">
        <v>0</v>
      </c>
      <c r="J268" s="126">
        <v>7.7499999999999999E-2</v>
      </c>
      <c r="K268" s="105">
        <v>7.4999999999999997E-2</v>
      </c>
      <c r="L268" s="127">
        <v>0.9</v>
      </c>
      <c r="M268" s="128">
        <v>10</v>
      </c>
      <c r="N268" s="128"/>
      <c r="O268" s="127">
        <v>12</v>
      </c>
      <c r="P268" s="128">
        <f t="shared" si="110"/>
        <v>0</v>
      </c>
      <c r="Q268" s="128">
        <f t="shared" si="111"/>
        <v>0</v>
      </c>
      <c r="R268" s="128">
        <f t="shared" si="112"/>
        <v>0</v>
      </c>
      <c r="S268" s="128">
        <f t="shared" si="113"/>
        <v>0</v>
      </c>
      <c r="T268" s="129">
        <v>0.606656065898319</v>
      </c>
      <c r="U268" s="172">
        <v>5000000</v>
      </c>
      <c r="V268" s="141">
        <v>290625</v>
      </c>
      <c r="W268" s="128">
        <f t="shared" si="108"/>
        <v>-5000000</v>
      </c>
      <c r="X268" s="128">
        <f t="shared" si="108"/>
        <v>-290625</v>
      </c>
      <c r="Y268" s="130">
        <f t="shared" si="109"/>
        <v>-5000000</v>
      </c>
      <c r="Z268" s="130">
        <f t="shared" si="109"/>
        <v>-290625</v>
      </c>
      <c r="AA268" s="130"/>
      <c r="AB268" s="130"/>
      <c r="AC268" s="130">
        <f t="shared" ref="AC268:AC327" si="120">Z268-AA268-AB268</f>
        <v>-290625</v>
      </c>
      <c r="AD268" s="131">
        <v>-5000000</v>
      </c>
      <c r="AE268" s="131">
        <f t="shared" si="92"/>
        <v>-5555555.555555555</v>
      </c>
      <c r="AF268" s="131"/>
      <c r="AG268" s="132"/>
      <c r="AH268" s="132"/>
      <c r="AI268" s="132"/>
      <c r="AJ268" s="132"/>
      <c r="AK268" s="132"/>
      <c r="AL268" s="111">
        <f t="shared" si="106"/>
        <v>-290625</v>
      </c>
      <c r="AM268" s="111"/>
      <c r="AN268" s="111"/>
      <c r="AO268" s="111"/>
      <c r="AP268" s="111">
        <f t="shared" si="103"/>
        <v>-290625</v>
      </c>
      <c r="AQ268" s="111"/>
      <c r="AR268" s="111">
        <f t="shared" si="117"/>
        <v>-290625</v>
      </c>
      <c r="AS268" s="111"/>
      <c r="AT268" s="111">
        <v>0</v>
      </c>
      <c r="AU268" s="111"/>
      <c r="AV268" s="111"/>
      <c r="AW268" s="111"/>
      <c r="AX268" s="111"/>
      <c r="AY268" s="111"/>
      <c r="AZ268" s="111"/>
      <c r="BA268" s="111">
        <f t="shared" si="116"/>
        <v>0</v>
      </c>
      <c r="BB268" s="111"/>
      <c r="BC268" s="111"/>
      <c r="BD268" s="111"/>
      <c r="BE268" s="111"/>
      <c r="BF268" s="111"/>
      <c r="BG268" s="111"/>
      <c r="BH268" s="111">
        <f t="shared" si="114"/>
        <v>0</v>
      </c>
      <c r="BI268" s="111">
        <v>0</v>
      </c>
      <c r="BJ268" s="133">
        <f t="shared" si="96"/>
        <v>-6250000</v>
      </c>
      <c r="BK268" s="134"/>
      <c r="BL268" s="134"/>
      <c r="BM268" s="135"/>
      <c r="BN268" s="135"/>
      <c r="BO268" s="135"/>
      <c r="BP268" s="135"/>
      <c r="BQ268" s="114">
        <f t="shared" si="107"/>
        <v>-6250000</v>
      </c>
      <c r="BR268" s="114">
        <f t="shared" si="104"/>
        <v>-7142857.1428571437</v>
      </c>
      <c r="BS268" s="136"/>
      <c r="BT268" s="136"/>
      <c r="BU268" s="136"/>
      <c r="BV268" s="115">
        <f t="shared" si="105"/>
        <v>-8333333.3333333321</v>
      </c>
      <c r="BW268" s="115"/>
      <c r="BX268" s="116">
        <f t="shared" si="119"/>
        <v>-12916666.666666664</v>
      </c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>
        <v>0</v>
      </c>
      <c r="CL268" s="116"/>
      <c r="CM268" s="119"/>
    </row>
    <row r="269" spans="1:92" s="174" customFormat="1" ht="30.75" customHeight="1" x14ac:dyDescent="0.2">
      <c r="B269" s="145">
        <f t="shared" si="115"/>
        <v>257</v>
      </c>
      <c r="C269" s="370" t="s">
        <v>475</v>
      </c>
      <c r="D269" s="371" t="s">
        <v>476</v>
      </c>
      <c r="E269" s="328" t="s">
        <v>106</v>
      </c>
      <c r="F269" s="329" t="s">
        <v>96</v>
      </c>
      <c r="G269" s="330"/>
      <c r="H269" s="330" t="s">
        <v>148</v>
      </c>
      <c r="I269" s="208">
        <v>0</v>
      </c>
      <c r="J269" s="207"/>
      <c r="K269" s="151">
        <v>7.2499999999999995E-2</v>
      </c>
      <c r="L269" s="152">
        <v>0.9</v>
      </c>
      <c r="M269" s="153">
        <v>9</v>
      </c>
      <c r="N269" s="153">
        <v>2.5</v>
      </c>
      <c r="O269" s="152">
        <v>12</v>
      </c>
      <c r="P269" s="208"/>
      <c r="Q269" s="208"/>
      <c r="R269" s="208"/>
      <c r="S269" s="208"/>
      <c r="T269" s="209"/>
      <c r="U269" s="222"/>
      <c r="V269" s="223"/>
      <c r="W269" s="208"/>
      <c r="X269" s="208"/>
      <c r="Y269" s="210"/>
      <c r="Z269" s="210"/>
      <c r="AA269" s="210"/>
      <c r="AB269" s="210"/>
      <c r="AC269" s="210"/>
      <c r="AD269" s="211"/>
      <c r="AE269" s="211"/>
      <c r="AF269" s="211"/>
      <c r="AG269" s="198"/>
      <c r="AH269" s="198"/>
      <c r="AI269" s="198"/>
      <c r="AJ269" s="198"/>
      <c r="AK269" s="198"/>
      <c r="AL269" s="83"/>
      <c r="AM269" s="83"/>
      <c r="AN269" s="83"/>
      <c r="AO269" s="83"/>
      <c r="AP269" s="83"/>
      <c r="AQ269" s="83"/>
      <c r="AR269" s="83">
        <f t="shared" si="117"/>
        <v>0</v>
      </c>
      <c r="AS269" s="83"/>
      <c r="AT269" s="83">
        <v>0</v>
      </c>
      <c r="AU269" s="83">
        <f t="shared" ref="AU269:AU278" si="121">AR269-AT269</f>
        <v>0</v>
      </c>
      <c r="AV269" s="83"/>
      <c r="AW269" s="83"/>
      <c r="AX269" s="83"/>
      <c r="AY269" s="83"/>
      <c r="AZ269" s="83"/>
      <c r="BA269" s="368">
        <f t="shared" ref="BA269" si="122">CL269*7.25%*0.9*3.5/12</f>
        <v>190312.5</v>
      </c>
      <c r="BB269" s="83"/>
      <c r="BC269" s="83"/>
      <c r="BD269" s="83"/>
      <c r="BE269" s="83"/>
      <c r="BF269" s="83"/>
      <c r="BG269" s="83"/>
      <c r="BH269" s="83">
        <f t="shared" si="114"/>
        <v>190312.5</v>
      </c>
      <c r="BI269" s="83">
        <f>CK269*K269*L269*N269/O269</f>
        <v>27187.5</v>
      </c>
      <c r="BJ269" s="212"/>
      <c r="BK269" s="213"/>
      <c r="BL269" s="213"/>
      <c r="BM269" s="214"/>
      <c r="BN269" s="214"/>
      <c r="BO269" s="214"/>
      <c r="BP269" s="214"/>
      <c r="BQ269" s="160"/>
      <c r="BR269" s="160"/>
      <c r="BS269" s="215"/>
      <c r="BT269" s="215"/>
      <c r="BU269" s="215"/>
      <c r="BV269" s="162"/>
      <c r="BW269" s="162"/>
      <c r="BX269" s="95">
        <f t="shared" si="119"/>
        <v>0</v>
      </c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>
        <v>2000000</v>
      </c>
      <c r="CL269" s="95">
        <v>10000000</v>
      </c>
      <c r="CM269" s="170" t="s">
        <v>135</v>
      </c>
      <c r="CN269" s="171" t="s">
        <v>106</v>
      </c>
    </row>
    <row r="270" spans="1:92" s="120" customFormat="1" ht="25.5" x14ac:dyDescent="0.2">
      <c r="B270" s="99">
        <f t="shared" si="115"/>
        <v>258</v>
      </c>
      <c r="C270" s="323" t="s">
        <v>477</v>
      </c>
      <c r="D270" s="324" t="s">
        <v>478</v>
      </c>
      <c r="E270" s="325" t="s">
        <v>479</v>
      </c>
      <c r="F270" s="326" t="s">
        <v>96</v>
      </c>
      <c r="G270" s="327"/>
      <c r="H270" s="327" t="s">
        <v>97</v>
      </c>
      <c r="I270" s="128"/>
      <c r="J270" s="126"/>
      <c r="K270" s="105"/>
      <c r="L270" s="106"/>
      <c r="M270" s="107"/>
      <c r="N270" s="107"/>
      <c r="O270" s="106"/>
      <c r="P270" s="128"/>
      <c r="Q270" s="128"/>
      <c r="R270" s="128"/>
      <c r="S270" s="128"/>
      <c r="T270" s="129"/>
      <c r="U270" s="172"/>
      <c r="V270" s="141"/>
      <c r="W270" s="128"/>
      <c r="X270" s="128"/>
      <c r="Y270" s="130"/>
      <c r="Z270" s="130"/>
      <c r="AA270" s="130"/>
      <c r="AB270" s="130"/>
      <c r="AC270" s="130"/>
      <c r="AD270" s="131"/>
      <c r="AE270" s="131"/>
      <c r="AF270" s="131"/>
      <c r="AG270" s="132"/>
      <c r="AH270" s="132"/>
      <c r="AI270" s="132"/>
      <c r="AJ270" s="132"/>
      <c r="AK270" s="132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313"/>
      <c r="BB270" s="111"/>
      <c r="BC270" s="111"/>
      <c r="BD270" s="111"/>
      <c r="BE270" s="111"/>
      <c r="BF270" s="111"/>
      <c r="BG270" s="111">
        <v>8044.52</v>
      </c>
      <c r="BH270" s="111"/>
      <c r="BI270" s="111">
        <v>0</v>
      </c>
      <c r="BJ270" s="133"/>
      <c r="BK270" s="134"/>
      <c r="BL270" s="134"/>
      <c r="BM270" s="135"/>
      <c r="BN270" s="135"/>
      <c r="BO270" s="135"/>
      <c r="BP270" s="135"/>
      <c r="BQ270" s="114"/>
      <c r="BR270" s="114"/>
      <c r="BS270" s="136"/>
      <c r="BT270" s="136"/>
      <c r="BU270" s="136"/>
      <c r="BV270" s="115"/>
      <c r="BW270" s="115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>
        <v>500000</v>
      </c>
      <c r="CK270" s="116">
        <v>0</v>
      </c>
      <c r="CL270" s="116"/>
      <c r="CM270" s="217"/>
      <c r="CN270" s="201"/>
    </row>
    <row r="271" spans="1:92" s="120" customFormat="1" ht="25.5" x14ac:dyDescent="0.2">
      <c r="A271" s="120">
        <f>A268+1</f>
        <v>131</v>
      </c>
      <c r="B271" s="99">
        <f t="shared" si="115"/>
        <v>259</v>
      </c>
      <c r="C271" s="122" t="s">
        <v>480</v>
      </c>
      <c r="D271" s="123" t="s">
        <v>481</v>
      </c>
      <c r="E271" s="122" t="s">
        <v>95</v>
      </c>
      <c r="F271" s="100" t="s">
        <v>134</v>
      </c>
      <c r="G271" s="124">
        <v>43497</v>
      </c>
      <c r="H271" s="124">
        <v>43497</v>
      </c>
      <c r="I271" s="125">
        <v>15000000</v>
      </c>
      <c r="J271" s="126">
        <v>7.7499999999999999E-2</v>
      </c>
      <c r="K271" s="105">
        <v>7.4999999999999997E-2</v>
      </c>
      <c r="L271" s="127">
        <v>0.9</v>
      </c>
      <c r="M271" s="128">
        <v>10</v>
      </c>
      <c r="N271" s="128"/>
      <c r="O271" s="127">
        <v>12</v>
      </c>
      <c r="P271" s="128">
        <f t="shared" si="110"/>
        <v>871875</v>
      </c>
      <c r="Q271" s="128">
        <f t="shared" si="111"/>
        <v>9099840.9884747844</v>
      </c>
      <c r="R271" s="128">
        <f t="shared" si="112"/>
        <v>528928.25745509693</v>
      </c>
      <c r="S271" s="128">
        <f t="shared" si="113"/>
        <v>342946.74254490307</v>
      </c>
      <c r="T271" s="129">
        <v>0.606656065898319</v>
      </c>
      <c r="U271" s="128"/>
      <c r="V271" s="127"/>
      <c r="W271" s="128">
        <f t="shared" si="108"/>
        <v>9099840.9884747844</v>
      </c>
      <c r="X271" s="128">
        <f t="shared" si="108"/>
        <v>528928.25745509693</v>
      </c>
      <c r="Y271" s="130">
        <f t="shared" si="109"/>
        <v>9099840.9884747844</v>
      </c>
      <c r="Z271" s="130">
        <f>SUM(X271)-80195.87</f>
        <v>448732.38745509693</v>
      </c>
      <c r="AA271" s="130">
        <f>871874.99-AA272</f>
        <v>448732.39</v>
      </c>
      <c r="AB271" s="130"/>
      <c r="AC271" s="130">
        <f t="shared" si="120"/>
        <v>-2.5449030799791217E-3</v>
      </c>
      <c r="AD271" s="131">
        <v>5.8824505656957626E-2</v>
      </c>
      <c r="AE271" s="131">
        <f t="shared" si="92"/>
        <v>-4.8648087550377472E-2</v>
      </c>
      <c r="AF271" s="131"/>
      <c r="AG271" s="132"/>
      <c r="AH271" s="132"/>
      <c r="AI271" s="132"/>
      <c r="AJ271" s="132"/>
      <c r="AK271" s="132"/>
      <c r="AL271" s="111">
        <f t="shared" si="106"/>
        <v>-2.5449030799791217E-3</v>
      </c>
      <c r="AM271" s="111"/>
      <c r="AN271" s="111"/>
      <c r="AO271" s="111"/>
      <c r="AP271" s="111">
        <f t="shared" si="103"/>
        <v>-2.5449030799791217E-3</v>
      </c>
      <c r="AQ271" s="111"/>
      <c r="AR271" s="111">
        <f t="shared" si="117"/>
        <v>-2.5449030799791217E-3</v>
      </c>
      <c r="AS271" s="111"/>
      <c r="AT271" s="111">
        <v>0</v>
      </c>
      <c r="AU271" s="111">
        <f t="shared" si="121"/>
        <v>-2.5449030799791217E-3</v>
      </c>
      <c r="AV271" s="111"/>
      <c r="AW271" s="111"/>
      <c r="AX271" s="111"/>
      <c r="AY271" s="111"/>
      <c r="AZ271" s="111"/>
      <c r="BA271" s="111">
        <f t="shared" si="116"/>
        <v>0</v>
      </c>
      <c r="BB271" s="111"/>
      <c r="BC271" s="111"/>
      <c r="BD271" s="111"/>
      <c r="BE271" s="111"/>
      <c r="BF271" s="111"/>
      <c r="BG271" s="111"/>
      <c r="BH271" s="111">
        <f t="shared" si="114"/>
        <v>0</v>
      </c>
      <c r="BI271" s="111"/>
      <c r="BJ271" s="133">
        <f t="shared" si="96"/>
        <v>-5.4729098494174656E-2</v>
      </c>
      <c r="BK271" s="134"/>
      <c r="BL271" s="134"/>
      <c r="BM271" s="135"/>
      <c r="BN271" s="135"/>
      <c r="BO271" s="135"/>
      <c r="BP271" s="135"/>
      <c r="BQ271" s="114">
        <f t="shared" si="107"/>
        <v>-5.4729098494174656E-2</v>
      </c>
      <c r="BR271" s="114">
        <f t="shared" si="104"/>
        <v>-6.2547541136199605E-2</v>
      </c>
      <c r="BS271" s="136"/>
      <c r="BT271" s="136"/>
      <c r="BU271" s="136"/>
      <c r="BV271" s="115">
        <f t="shared" si="105"/>
        <v>-7.2972131325566209E-2</v>
      </c>
      <c r="BW271" s="115"/>
      <c r="BX271" s="116">
        <f t="shared" si="119"/>
        <v>-0.11310680355462766</v>
      </c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>
        <v>0</v>
      </c>
      <c r="CL271" s="116"/>
      <c r="CM271" s="119"/>
    </row>
    <row r="272" spans="1:92" s="120" customFormat="1" ht="25.5" x14ac:dyDescent="0.2">
      <c r="B272" s="99">
        <f t="shared" si="115"/>
        <v>260</v>
      </c>
      <c r="C272" s="122" t="s">
        <v>480</v>
      </c>
      <c r="D272" s="123" t="s">
        <v>481</v>
      </c>
      <c r="E272" s="122" t="s">
        <v>161</v>
      </c>
      <c r="F272" s="100" t="s">
        <v>134</v>
      </c>
      <c r="G272" s="124">
        <v>43556</v>
      </c>
      <c r="H272" s="124" t="s">
        <v>97</v>
      </c>
      <c r="I272" s="125">
        <v>15000000</v>
      </c>
      <c r="J272" s="126">
        <v>7.7499999999999999E-2</v>
      </c>
      <c r="K272" s="105">
        <v>7.4999999999999997E-2</v>
      </c>
      <c r="L272" s="127">
        <v>0.9</v>
      </c>
      <c r="M272" s="128">
        <v>8</v>
      </c>
      <c r="N272" s="128"/>
      <c r="O272" s="127">
        <v>12</v>
      </c>
      <c r="P272" s="128">
        <f t="shared" si="110"/>
        <v>697500</v>
      </c>
      <c r="Q272" s="128">
        <f t="shared" si="111"/>
        <v>9099840.9884747844</v>
      </c>
      <c r="R272" s="128">
        <f t="shared" si="112"/>
        <v>423142.60596407746</v>
      </c>
      <c r="S272" s="128">
        <f t="shared" si="113"/>
        <v>274357.39403592254</v>
      </c>
      <c r="T272" s="129">
        <v>0.606656065898319</v>
      </c>
      <c r="U272" s="128"/>
      <c r="V272" s="127"/>
      <c r="W272" s="128">
        <f t="shared" si="108"/>
        <v>9099840.9884747844</v>
      </c>
      <c r="X272" s="128">
        <f t="shared" si="108"/>
        <v>423142.60596407746</v>
      </c>
      <c r="Y272" s="130">
        <f t="shared" si="109"/>
        <v>9099840.9884747844</v>
      </c>
      <c r="Z272" s="130">
        <f t="shared" si="109"/>
        <v>423142.60596407746</v>
      </c>
      <c r="AA272" s="130">
        <v>423142.6</v>
      </c>
      <c r="AB272" s="130"/>
      <c r="AC272" s="130">
        <f t="shared" si="120"/>
        <v>5.9640774852596223E-3</v>
      </c>
      <c r="AD272" s="131">
        <v>0</v>
      </c>
      <c r="AE272" s="131">
        <f t="shared" si="92"/>
        <v>0.11400864965848742</v>
      </c>
      <c r="AF272" s="131"/>
      <c r="AG272" s="132"/>
      <c r="AH272" s="132"/>
      <c r="AI272" s="132"/>
      <c r="AJ272" s="132"/>
      <c r="AK272" s="132"/>
      <c r="AL272" s="111">
        <f t="shared" si="106"/>
        <v>5.9640774852596223E-3</v>
      </c>
      <c r="AM272" s="111"/>
      <c r="AN272" s="111"/>
      <c r="AO272" s="111"/>
      <c r="AP272" s="111">
        <f t="shared" si="103"/>
        <v>5.9640774852596223E-3</v>
      </c>
      <c r="AQ272" s="111"/>
      <c r="AR272" s="111">
        <f t="shared" si="117"/>
        <v>5.9640774852596223E-3</v>
      </c>
      <c r="AS272" s="111"/>
      <c r="AT272" s="111">
        <v>0</v>
      </c>
      <c r="AU272" s="111">
        <f t="shared" si="121"/>
        <v>5.9640774852596223E-3</v>
      </c>
      <c r="AV272" s="111"/>
      <c r="AW272" s="111"/>
      <c r="AX272" s="111"/>
      <c r="AY272" s="111"/>
      <c r="AZ272" s="111"/>
      <c r="BA272" s="111">
        <f t="shared" si="116"/>
        <v>0</v>
      </c>
      <c r="BB272" s="111"/>
      <c r="BC272" s="111"/>
      <c r="BD272" s="111"/>
      <c r="BE272" s="111"/>
      <c r="BF272" s="111"/>
      <c r="BG272" s="111">
        <v>244687.5</v>
      </c>
      <c r="BH272" s="111">
        <f t="shared" si="114"/>
        <v>-244687.5</v>
      </c>
      <c r="BI272" s="111">
        <f>CK272*7.25%*0.9*3/12</f>
        <v>0</v>
      </c>
      <c r="BJ272" s="112">
        <f t="shared" si="96"/>
        <v>0.12825973086579834</v>
      </c>
      <c r="BK272" s="134"/>
      <c r="BL272" s="134"/>
      <c r="BM272" s="135"/>
      <c r="BN272" s="135"/>
      <c r="BO272" s="135"/>
      <c r="BP272" s="135"/>
      <c r="BQ272" s="114">
        <f t="shared" si="107"/>
        <v>0.12825973086579834</v>
      </c>
      <c r="BR272" s="114">
        <f t="shared" si="104"/>
        <v>0.14658254956091238</v>
      </c>
      <c r="BS272" s="136"/>
      <c r="BT272" s="136"/>
      <c r="BU272" s="136"/>
      <c r="BV272" s="115">
        <f t="shared" si="105"/>
        <v>0.17101297448773112</v>
      </c>
      <c r="BW272" s="115"/>
      <c r="BX272" s="116">
        <f t="shared" si="119"/>
        <v>0.26507011045598322</v>
      </c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>
        <v>15000000</v>
      </c>
      <c r="CK272" s="116">
        <f>15000000-15000000</f>
        <v>0</v>
      </c>
      <c r="CL272" s="144">
        <v>15000000</v>
      </c>
      <c r="CM272" s="167" t="s">
        <v>135</v>
      </c>
      <c r="CN272" s="168" t="s">
        <v>184</v>
      </c>
    </row>
    <row r="273" spans="1:92" s="120" customFormat="1" ht="25.5" x14ac:dyDescent="0.2">
      <c r="A273" s="120">
        <f>A271+1</f>
        <v>132</v>
      </c>
      <c r="B273" s="99">
        <f t="shared" si="115"/>
        <v>261</v>
      </c>
      <c r="C273" s="122" t="s">
        <v>482</v>
      </c>
      <c r="D273" s="123" t="s">
        <v>483</v>
      </c>
      <c r="E273" s="122" t="s">
        <v>95</v>
      </c>
      <c r="F273" s="100" t="s">
        <v>96</v>
      </c>
      <c r="G273" s="124">
        <v>43525</v>
      </c>
      <c r="H273" s="124">
        <v>43525</v>
      </c>
      <c r="I273" s="125">
        <v>3000000</v>
      </c>
      <c r="J273" s="126">
        <v>7.7499999999999999E-2</v>
      </c>
      <c r="K273" s="105">
        <v>7.4999999999999997E-2</v>
      </c>
      <c r="L273" s="127">
        <v>0.9</v>
      </c>
      <c r="M273" s="128">
        <v>9</v>
      </c>
      <c r="N273" s="128"/>
      <c r="O273" s="127">
        <v>12</v>
      </c>
      <c r="P273" s="128">
        <f t="shared" si="110"/>
        <v>156937.5</v>
      </c>
      <c r="Q273" s="128">
        <f t="shared" si="111"/>
        <v>1819968.197694957</v>
      </c>
      <c r="R273" s="128">
        <f t="shared" si="112"/>
        <v>95207.086341917442</v>
      </c>
      <c r="S273" s="128">
        <f t="shared" si="113"/>
        <v>61730.413658082558</v>
      </c>
      <c r="T273" s="129">
        <v>0.606656065898319</v>
      </c>
      <c r="U273" s="128"/>
      <c r="V273" s="127"/>
      <c r="W273" s="128">
        <f t="shared" si="108"/>
        <v>1819968.197694957</v>
      </c>
      <c r="X273" s="128">
        <f t="shared" si="108"/>
        <v>95207.086341917442</v>
      </c>
      <c r="Y273" s="130">
        <f t="shared" si="109"/>
        <v>1819968.197694957</v>
      </c>
      <c r="Z273" s="130">
        <f t="shared" si="109"/>
        <v>95207.086341917442</v>
      </c>
      <c r="AA273" s="130">
        <v>93216.58</v>
      </c>
      <c r="AB273" s="130"/>
      <c r="AC273" s="130">
        <f t="shared" si="120"/>
        <v>1990.5063419174403</v>
      </c>
      <c r="AD273" s="131">
        <v>-362028.62207453861</v>
      </c>
      <c r="AE273" s="131">
        <f t="shared" si="92"/>
        <v>38050.300442866246</v>
      </c>
      <c r="AF273" s="131"/>
      <c r="AG273" s="132"/>
      <c r="AH273" s="132"/>
      <c r="AI273" s="132"/>
      <c r="AJ273" s="132"/>
      <c r="AK273" s="132"/>
      <c r="AL273" s="111">
        <f t="shared" si="106"/>
        <v>1990.5063419174403</v>
      </c>
      <c r="AM273" s="111"/>
      <c r="AN273" s="111"/>
      <c r="AO273" s="111"/>
      <c r="AP273" s="111">
        <f t="shared" si="103"/>
        <v>1990.5063419174403</v>
      </c>
      <c r="AQ273" s="111"/>
      <c r="AR273" s="111">
        <f t="shared" si="117"/>
        <v>1990.5063419174403</v>
      </c>
      <c r="AS273" s="111"/>
      <c r="AT273" s="111">
        <v>0</v>
      </c>
      <c r="AU273" s="111">
        <f t="shared" si="121"/>
        <v>1990.5063419174403</v>
      </c>
      <c r="AV273" s="111"/>
      <c r="AW273" s="111"/>
      <c r="AX273" s="111"/>
      <c r="AY273" s="111"/>
      <c r="AZ273" s="111"/>
      <c r="BA273" s="111">
        <f t="shared" si="116"/>
        <v>0</v>
      </c>
      <c r="BB273" s="111"/>
      <c r="BC273" s="111"/>
      <c r="BD273" s="111"/>
      <c r="BE273" s="111"/>
      <c r="BF273" s="111"/>
      <c r="BG273" s="111"/>
      <c r="BH273" s="111">
        <f t="shared" si="114"/>
        <v>0</v>
      </c>
      <c r="BI273" s="111"/>
      <c r="BJ273" s="112">
        <f t="shared" si="96"/>
        <v>42806.587998224524</v>
      </c>
      <c r="BK273" s="134"/>
      <c r="BL273" s="134"/>
      <c r="BM273" s="135"/>
      <c r="BN273" s="135"/>
      <c r="BO273" s="135"/>
      <c r="BP273" s="135"/>
      <c r="BQ273" s="114">
        <f t="shared" si="107"/>
        <v>42806.587998224524</v>
      </c>
      <c r="BR273" s="114">
        <f t="shared" si="104"/>
        <v>48921.814855113742</v>
      </c>
      <c r="BS273" s="136"/>
      <c r="BT273" s="136"/>
      <c r="BU273" s="136"/>
      <c r="BV273" s="115">
        <f t="shared" si="105"/>
        <v>57075.450664299366</v>
      </c>
      <c r="BW273" s="115"/>
      <c r="BX273" s="116">
        <f t="shared" si="119"/>
        <v>88466.94852966402</v>
      </c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>
        <v>0</v>
      </c>
      <c r="CL273" s="116"/>
      <c r="CM273" s="119"/>
    </row>
    <row r="274" spans="1:92" s="118" customFormat="1" ht="25.5" x14ac:dyDescent="0.2">
      <c r="A274" s="118">
        <f t="shared" ref="A274:A279" si="123">A273+1</f>
        <v>133</v>
      </c>
      <c r="B274" s="99">
        <f t="shared" si="115"/>
        <v>262</v>
      </c>
      <c r="C274" s="100" t="s">
        <v>484</v>
      </c>
      <c r="D274" s="101" t="s">
        <v>485</v>
      </c>
      <c r="E274" s="100" t="s">
        <v>95</v>
      </c>
      <c r="F274" s="100" t="s">
        <v>96</v>
      </c>
      <c r="G274" s="103">
        <v>43525</v>
      </c>
      <c r="H274" s="218" t="s">
        <v>171</v>
      </c>
      <c r="I274" s="104">
        <v>800000</v>
      </c>
      <c r="J274" s="105">
        <v>7.7499999999999999E-2</v>
      </c>
      <c r="K274" s="105">
        <v>7.4999999999999997E-2</v>
      </c>
      <c r="L274" s="106">
        <v>0.9</v>
      </c>
      <c r="M274" s="107">
        <v>9</v>
      </c>
      <c r="N274" s="107"/>
      <c r="O274" s="106">
        <v>12</v>
      </c>
      <c r="P274" s="107">
        <f t="shared" si="110"/>
        <v>41850</v>
      </c>
      <c r="Q274" s="107">
        <f t="shared" si="111"/>
        <v>485324.85271865519</v>
      </c>
      <c r="R274" s="107">
        <f t="shared" si="112"/>
        <v>25388.556357844649</v>
      </c>
      <c r="S274" s="107">
        <f t="shared" si="113"/>
        <v>16461.443642155351</v>
      </c>
      <c r="T274" s="108">
        <v>0.606656065898319</v>
      </c>
      <c r="U274" s="107"/>
      <c r="V274" s="106"/>
      <c r="W274" s="107">
        <f t="shared" si="108"/>
        <v>485324.85271865519</v>
      </c>
      <c r="X274" s="107">
        <f t="shared" si="108"/>
        <v>25388.556357844649</v>
      </c>
      <c r="Y274" s="109">
        <f t="shared" si="109"/>
        <v>485324.85271865519</v>
      </c>
      <c r="Z274" s="109">
        <f t="shared" si="109"/>
        <v>25388.556357844649</v>
      </c>
      <c r="AA274" s="109"/>
      <c r="AB274" s="109"/>
      <c r="AC274" s="109">
        <f t="shared" si="120"/>
        <v>25388.556357844649</v>
      </c>
      <c r="AD274" s="110">
        <v>436792.36744678969</v>
      </c>
      <c r="AE274" s="110">
        <f t="shared" si="92"/>
        <v>485324.85271865514</v>
      </c>
      <c r="AF274" s="110"/>
      <c r="AG274" s="111">
        <v>-25388.560000000001</v>
      </c>
      <c r="AH274" s="111"/>
      <c r="AI274" s="111"/>
      <c r="AJ274" s="111"/>
      <c r="AK274" s="111"/>
      <c r="AL274" s="111">
        <f t="shared" si="106"/>
        <v>-3.6421553522814065E-3</v>
      </c>
      <c r="AM274" s="111"/>
      <c r="AN274" s="111"/>
      <c r="AO274" s="111"/>
      <c r="AP274" s="111">
        <f t="shared" si="103"/>
        <v>-3.6421553522814065E-3</v>
      </c>
      <c r="AQ274" s="111"/>
      <c r="AR274" s="111">
        <f t="shared" si="117"/>
        <v>-3.6421553522814065E-3</v>
      </c>
      <c r="AS274" s="111"/>
      <c r="AT274" s="111">
        <v>0</v>
      </c>
      <c r="AU274" s="111">
        <f t="shared" si="121"/>
        <v>-3.6421553522814065E-3</v>
      </c>
      <c r="AV274" s="111"/>
      <c r="AW274" s="111"/>
      <c r="AX274" s="111"/>
      <c r="AY274" s="111"/>
      <c r="AZ274" s="111"/>
      <c r="BA274" s="111">
        <f t="shared" si="116"/>
        <v>0</v>
      </c>
      <c r="BB274" s="111"/>
      <c r="BC274" s="111"/>
      <c r="BD274" s="111"/>
      <c r="BE274" s="111"/>
      <c r="BF274" s="111"/>
      <c r="BG274" s="111"/>
      <c r="BH274" s="111">
        <f t="shared" si="114"/>
        <v>0</v>
      </c>
      <c r="BI274" s="111"/>
      <c r="BJ274" s="112">
        <f t="shared" si="96"/>
        <v>545990.45930848713</v>
      </c>
      <c r="BK274" s="112"/>
      <c r="BL274" s="133">
        <v>-545990.46</v>
      </c>
      <c r="BM274" s="113"/>
      <c r="BN274" s="113"/>
      <c r="BO274" s="113"/>
      <c r="BP274" s="113"/>
      <c r="BQ274" s="114">
        <f t="shared" si="107"/>
        <v>-6.9151283241808414E-4</v>
      </c>
      <c r="BR274" s="114">
        <f t="shared" si="104"/>
        <v>-8.9515338919358672E-2</v>
      </c>
      <c r="BS274" s="98"/>
      <c r="BT274" s="98"/>
      <c r="BU274" s="98"/>
      <c r="BV274" s="115">
        <f t="shared" si="105"/>
        <v>-0.10443456207258511</v>
      </c>
      <c r="BW274" s="115"/>
      <c r="BX274" s="116">
        <f t="shared" si="119"/>
        <v>-0.16187357121250695</v>
      </c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>
        <v>0</v>
      </c>
      <c r="CL274" s="116"/>
      <c r="CM274" s="117"/>
    </row>
    <row r="275" spans="1:92" s="118" customFormat="1" ht="25.5" x14ac:dyDescent="0.2">
      <c r="A275" s="118">
        <f t="shared" si="123"/>
        <v>134</v>
      </c>
      <c r="B275" s="99">
        <f t="shared" si="115"/>
        <v>263</v>
      </c>
      <c r="C275" s="100" t="s">
        <v>486</v>
      </c>
      <c r="D275" s="101" t="s">
        <v>487</v>
      </c>
      <c r="E275" s="100" t="s">
        <v>95</v>
      </c>
      <c r="F275" s="100" t="s">
        <v>96</v>
      </c>
      <c r="G275" s="103">
        <v>43525</v>
      </c>
      <c r="H275" s="218" t="s">
        <v>171</v>
      </c>
      <c r="I275" s="104">
        <v>1000000</v>
      </c>
      <c r="J275" s="105">
        <v>7.7499999999999999E-2</v>
      </c>
      <c r="K275" s="105">
        <v>7.4999999999999997E-2</v>
      </c>
      <c r="L275" s="106">
        <v>0.9</v>
      </c>
      <c r="M275" s="107">
        <v>9</v>
      </c>
      <c r="N275" s="107"/>
      <c r="O275" s="106">
        <v>12</v>
      </c>
      <c r="P275" s="107">
        <f t="shared" si="110"/>
        <v>52312.5</v>
      </c>
      <c r="Q275" s="107">
        <f t="shared" si="111"/>
        <v>606656.06589831901</v>
      </c>
      <c r="R275" s="107">
        <f t="shared" si="112"/>
        <v>31735.695447305814</v>
      </c>
      <c r="S275" s="107">
        <f t="shared" si="113"/>
        <v>20576.804552694186</v>
      </c>
      <c r="T275" s="108">
        <v>0.606656065898319</v>
      </c>
      <c r="U275" s="107"/>
      <c r="V275" s="106"/>
      <c r="W275" s="107">
        <f t="shared" si="108"/>
        <v>606656.06589831901</v>
      </c>
      <c r="X275" s="107">
        <f t="shared" si="108"/>
        <v>31735.695447305814</v>
      </c>
      <c r="Y275" s="109">
        <f t="shared" si="109"/>
        <v>606656.06589831901</v>
      </c>
      <c r="Z275" s="109">
        <f t="shared" si="109"/>
        <v>31735.695447305814</v>
      </c>
      <c r="AA275" s="109"/>
      <c r="AB275" s="109"/>
      <c r="AC275" s="109">
        <f t="shared" si="120"/>
        <v>31735.695447305814</v>
      </c>
      <c r="AD275" s="110">
        <v>545990.45930848713</v>
      </c>
      <c r="AE275" s="110">
        <f t="shared" si="92"/>
        <v>606656.06589831901</v>
      </c>
      <c r="AF275" s="110"/>
      <c r="AG275" s="111">
        <v>-31735.7</v>
      </c>
      <c r="AH275" s="111"/>
      <c r="AI275" s="111"/>
      <c r="AJ275" s="111"/>
      <c r="AK275" s="111"/>
      <c r="AL275" s="111">
        <f t="shared" si="106"/>
        <v>-4.5526941867137793E-3</v>
      </c>
      <c r="AM275" s="111"/>
      <c r="AN275" s="111"/>
      <c r="AO275" s="111"/>
      <c r="AP275" s="111">
        <f t="shared" si="103"/>
        <v>-4.5526941867137793E-3</v>
      </c>
      <c r="AQ275" s="111"/>
      <c r="AR275" s="111">
        <f t="shared" si="117"/>
        <v>-4.5526941867137793E-3</v>
      </c>
      <c r="AS275" s="111"/>
      <c r="AT275" s="111">
        <v>0</v>
      </c>
      <c r="AU275" s="111">
        <f t="shared" si="121"/>
        <v>-4.5526941867137793E-3</v>
      </c>
      <c r="AV275" s="111"/>
      <c r="AW275" s="111"/>
      <c r="AX275" s="111"/>
      <c r="AY275" s="111"/>
      <c r="AZ275" s="111"/>
      <c r="BA275" s="111">
        <f t="shared" si="116"/>
        <v>0</v>
      </c>
      <c r="BB275" s="111"/>
      <c r="BC275" s="111"/>
      <c r="BD275" s="111"/>
      <c r="BE275" s="111"/>
      <c r="BF275" s="111"/>
      <c r="BG275" s="111"/>
      <c r="BH275" s="111">
        <f t="shared" si="114"/>
        <v>0</v>
      </c>
      <c r="BI275" s="111"/>
      <c r="BJ275" s="112">
        <f t="shared" si="96"/>
        <v>682488.07413560885</v>
      </c>
      <c r="BK275" s="112"/>
      <c r="BL275" s="133">
        <v>-682488.07</v>
      </c>
      <c r="BM275" s="113"/>
      <c r="BN275" s="113"/>
      <c r="BO275" s="113"/>
      <c r="BP275" s="113"/>
      <c r="BQ275" s="114">
        <f t="shared" si="107"/>
        <v>4.1356089059263468E-3</v>
      </c>
      <c r="BR275" s="114">
        <f t="shared" si="104"/>
        <v>-0.11189417355978568</v>
      </c>
      <c r="BS275" s="98"/>
      <c r="BT275" s="98"/>
      <c r="BU275" s="98"/>
      <c r="BV275" s="115">
        <f t="shared" si="105"/>
        <v>-0.13054320248641663</v>
      </c>
      <c r="BW275" s="115"/>
      <c r="BX275" s="116">
        <f t="shared" si="119"/>
        <v>-0.20234196385394576</v>
      </c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>
        <v>0</v>
      </c>
      <c r="CL275" s="116"/>
      <c r="CM275" s="117"/>
    </row>
    <row r="276" spans="1:92" s="118" customFormat="1" ht="25.5" x14ac:dyDescent="0.2">
      <c r="A276" s="118">
        <f t="shared" si="123"/>
        <v>135</v>
      </c>
      <c r="B276" s="99">
        <f t="shared" si="115"/>
        <v>264</v>
      </c>
      <c r="C276" s="100" t="s">
        <v>488</v>
      </c>
      <c r="D276" s="101" t="s">
        <v>489</v>
      </c>
      <c r="E276" s="100" t="s">
        <v>95</v>
      </c>
      <c r="F276" s="100" t="s">
        <v>96</v>
      </c>
      <c r="G276" s="103">
        <v>43497</v>
      </c>
      <c r="H276" s="218" t="s">
        <v>171</v>
      </c>
      <c r="I276" s="104">
        <v>1000000</v>
      </c>
      <c r="J276" s="105">
        <v>7.7499999999999999E-2</v>
      </c>
      <c r="K276" s="105">
        <v>7.4999999999999997E-2</v>
      </c>
      <c r="L276" s="106">
        <v>0.9</v>
      </c>
      <c r="M276" s="107">
        <v>10</v>
      </c>
      <c r="N276" s="107"/>
      <c r="O276" s="106">
        <v>12</v>
      </c>
      <c r="P276" s="107">
        <f t="shared" si="110"/>
        <v>58125</v>
      </c>
      <c r="Q276" s="107">
        <f t="shared" si="111"/>
        <v>606656.06589831901</v>
      </c>
      <c r="R276" s="107">
        <f t="shared" si="112"/>
        <v>35261.883830339793</v>
      </c>
      <c r="S276" s="107">
        <f t="shared" si="113"/>
        <v>22863.116169660207</v>
      </c>
      <c r="T276" s="108">
        <v>0.606656065898319</v>
      </c>
      <c r="U276" s="107"/>
      <c r="V276" s="106"/>
      <c r="W276" s="107">
        <f t="shared" si="108"/>
        <v>606656.06589831901</v>
      </c>
      <c r="X276" s="107">
        <f t="shared" si="108"/>
        <v>35261.883830339793</v>
      </c>
      <c r="Y276" s="109">
        <f t="shared" si="109"/>
        <v>606656.06589831901</v>
      </c>
      <c r="Z276" s="109">
        <f t="shared" si="109"/>
        <v>35261.883830339793</v>
      </c>
      <c r="AA276" s="109"/>
      <c r="AB276" s="109"/>
      <c r="AC276" s="109">
        <f t="shared" si="120"/>
        <v>35261.883830339793</v>
      </c>
      <c r="AD276" s="110">
        <v>606656.06589831901</v>
      </c>
      <c r="AE276" s="110">
        <f t="shared" si="92"/>
        <v>674062.29544257664</v>
      </c>
      <c r="AF276" s="110">
        <v>28179</v>
      </c>
      <c r="AG276" s="111">
        <v>-7082.88</v>
      </c>
      <c r="AH276" s="111"/>
      <c r="AI276" s="111"/>
      <c r="AJ276" s="111"/>
      <c r="AK276" s="111"/>
      <c r="AL276" s="111">
        <f t="shared" si="106"/>
        <v>3.8303397923300508E-3</v>
      </c>
      <c r="AM276" s="111"/>
      <c r="AN276" s="111"/>
      <c r="AO276" s="111"/>
      <c r="AP276" s="111">
        <f t="shared" si="103"/>
        <v>3.8303397923300508E-3</v>
      </c>
      <c r="AQ276" s="111"/>
      <c r="AR276" s="111">
        <f t="shared" si="117"/>
        <v>3.8303397923300508E-3</v>
      </c>
      <c r="AS276" s="111"/>
      <c r="AT276" s="111">
        <v>0</v>
      </c>
      <c r="AU276" s="111">
        <f t="shared" si="121"/>
        <v>3.8303397923300508E-3</v>
      </c>
      <c r="AV276" s="111"/>
      <c r="AW276" s="111"/>
      <c r="AX276" s="111"/>
      <c r="AY276" s="111"/>
      <c r="AZ276" s="111"/>
      <c r="BA276" s="111">
        <f t="shared" si="116"/>
        <v>0</v>
      </c>
      <c r="BB276" s="111"/>
      <c r="BC276" s="111"/>
      <c r="BD276" s="111"/>
      <c r="BE276" s="111"/>
      <c r="BF276" s="111"/>
      <c r="BG276" s="111"/>
      <c r="BH276" s="111">
        <f t="shared" si="114"/>
        <v>0</v>
      </c>
      <c r="BI276" s="111"/>
      <c r="BJ276" s="112">
        <f t="shared" si="96"/>
        <v>758320.0823728987</v>
      </c>
      <c r="BK276" s="200">
        <v>606000</v>
      </c>
      <c r="BL276" s="331">
        <f>BK276-BJ276</f>
        <v>-152320.0823728987</v>
      </c>
      <c r="BM276" s="113"/>
      <c r="BN276" s="113"/>
      <c r="BO276" s="113"/>
      <c r="BP276" s="113"/>
      <c r="BQ276" s="114">
        <f t="shared" si="107"/>
        <v>0</v>
      </c>
      <c r="BR276" s="114">
        <f t="shared" si="104"/>
        <v>9.4140455725469752E-2</v>
      </c>
      <c r="BS276" s="98"/>
      <c r="BT276" s="98"/>
      <c r="BU276" s="98"/>
      <c r="BV276" s="115">
        <f t="shared" si="105"/>
        <v>0.10983053167971471</v>
      </c>
      <c r="BW276" s="115"/>
      <c r="BX276" s="116">
        <f t="shared" si="119"/>
        <v>0.1702373241035578</v>
      </c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>
        <v>0</v>
      </c>
      <c r="CL276" s="116"/>
      <c r="CM276" s="117"/>
    </row>
    <row r="277" spans="1:92" s="118" customFormat="1" ht="25.5" x14ac:dyDescent="0.2">
      <c r="A277" s="118">
        <f t="shared" si="123"/>
        <v>136</v>
      </c>
      <c r="B277" s="99">
        <f t="shared" si="115"/>
        <v>265</v>
      </c>
      <c r="C277" s="100" t="s">
        <v>490</v>
      </c>
      <c r="D277" s="101" t="s">
        <v>491</v>
      </c>
      <c r="E277" s="100" t="s">
        <v>95</v>
      </c>
      <c r="F277" s="100" t="s">
        <v>96</v>
      </c>
      <c r="G277" s="103">
        <v>43525</v>
      </c>
      <c r="H277" s="218" t="s">
        <v>171</v>
      </c>
      <c r="I277" s="104">
        <v>700000</v>
      </c>
      <c r="J277" s="105">
        <v>7.7499999999999999E-2</v>
      </c>
      <c r="K277" s="105">
        <v>7.4999999999999997E-2</v>
      </c>
      <c r="L277" s="106">
        <v>0.9</v>
      </c>
      <c r="M277" s="107">
        <v>9</v>
      </c>
      <c r="N277" s="107"/>
      <c r="O277" s="106">
        <v>12</v>
      </c>
      <c r="P277" s="107">
        <f t="shared" si="110"/>
        <v>36618.75</v>
      </c>
      <c r="Q277" s="107">
        <f t="shared" si="111"/>
        <v>424659.24612882332</v>
      </c>
      <c r="R277" s="107">
        <f t="shared" si="112"/>
        <v>22214.986813114072</v>
      </c>
      <c r="S277" s="107">
        <f t="shared" si="113"/>
        <v>14403.763186885928</v>
      </c>
      <c r="T277" s="108">
        <v>0.606656065898319</v>
      </c>
      <c r="U277" s="107"/>
      <c r="V277" s="106"/>
      <c r="W277" s="107">
        <f t="shared" si="108"/>
        <v>424659.24612882332</v>
      </c>
      <c r="X277" s="107">
        <f t="shared" si="108"/>
        <v>22214.986813114072</v>
      </c>
      <c r="Y277" s="109">
        <f t="shared" si="109"/>
        <v>424659.24612882332</v>
      </c>
      <c r="Z277" s="109">
        <f t="shared" si="109"/>
        <v>22214.986813114072</v>
      </c>
      <c r="AA277" s="109"/>
      <c r="AB277" s="109"/>
      <c r="AC277" s="109">
        <f t="shared" si="120"/>
        <v>22214.986813114072</v>
      </c>
      <c r="AD277" s="110">
        <v>382193.32151594106</v>
      </c>
      <c r="AE277" s="110">
        <f t="shared" si="92"/>
        <v>424659.24612882338</v>
      </c>
      <c r="AF277" s="110"/>
      <c r="AG277" s="111">
        <v>-22214.99</v>
      </c>
      <c r="AH277" s="111"/>
      <c r="AI277" s="111"/>
      <c r="AJ277" s="111"/>
      <c r="AK277" s="111"/>
      <c r="AL277" s="111">
        <f t="shared" si="106"/>
        <v>-3.1868859296082519E-3</v>
      </c>
      <c r="AM277" s="111"/>
      <c r="AN277" s="111"/>
      <c r="AO277" s="111"/>
      <c r="AP277" s="111">
        <f t="shared" si="103"/>
        <v>-3.1868859296082519E-3</v>
      </c>
      <c r="AQ277" s="111"/>
      <c r="AR277" s="111">
        <f t="shared" si="117"/>
        <v>-3.1868859296082519E-3</v>
      </c>
      <c r="AS277" s="111"/>
      <c r="AT277" s="111">
        <v>0</v>
      </c>
      <c r="AU277" s="111">
        <f t="shared" si="121"/>
        <v>-3.1868859296082519E-3</v>
      </c>
      <c r="AV277" s="111"/>
      <c r="AW277" s="111"/>
      <c r="AX277" s="111"/>
      <c r="AY277" s="111"/>
      <c r="AZ277" s="111"/>
      <c r="BA277" s="111">
        <f t="shared" si="116"/>
        <v>0</v>
      </c>
      <c r="BB277" s="111"/>
      <c r="BC277" s="111"/>
      <c r="BD277" s="111"/>
      <c r="BE277" s="111"/>
      <c r="BF277" s="111"/>
      <c r="BG277" s="111"/>
      <c r="BH277" s="111">
        <f t="shared" si="114"/>
        <v>0</v>
      </c>
      <c r="BI277" s="111"/>
      <c r="BJ277" s="112">
        <f t="shared" si="96"/>
        <v>477741.65189492633</v>
      </c>
      <c r="BK277" s="112"/>
      <c r="BL277" s="133">
        <v>-477741.65</v>
      </c>
      <c r="BM277" s="113"/>
      <c r="BN277" s="113"/>
      <c r="BO277" s="113"/>
      <c r="BP277" s="113"/>
      <c r="BQ277" s="114">
        <f t="shared" si="107"/>
        <v>1.8949263030663133E-3</v>
      </c>
      <c r="BR277" s="114">
        <f t="shared" si="104"/>
        <v>-7.8325921465026163E-2</v>
      </c>
      <c r="BS277" s="98"/>
      <c r="BT277" s="98"/>
      <c r="BU277" s="98"/>
      <c r="BV277" s="115">
        <f t="shared" si="105"/>
        <v>-9.1380241709197188E-2</v>
      </c>
      <c r="BW277" s="115"/>
      <c r="BX277" s="116">
        <f t="shared" si="119"/>
        <v>-0.14163937464925563</v>
      </c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>
        <v>0</v>
      </c>
      <c r="CL277" s="116"/>
      <c r="CM277" s="117"/>
    </row>
    <row r="278" spans="1:92" s="118" customFormat="1" ht="25.5" x14ac:dyDescent="0.2">
      <c r="A278" s="118">
        <f t="shared" si="123"/>
        <v>137</v>
      </c>
      <c r="B278" s="99">
        <f t="shared" si="115"/>
        <v>266</v>
      </c>
      <c r="C278" s="100" t="s">
        <v>492</v>
      </c>
      <c r="D278" s="101" t="s">
        <v>493</v>
      </c>
      <c r="E278" s="100" t="s">
        <v>95</v>
      </c>
      <c r="F278" s="100" t="s">
        <v>96</v>
      </c>
      <c r="G278" s="103">
        <v>43525</v>
      </c>
      <c r="H278" s="218" t="s">
        <v>171</v>
      </c>
      <c r="I278" s="104">
        <v>4000000</v>
      </c>
      <c r="J278" s="105">
        <v>7.7499999999999999E-2</v>
      </c>
      <c r="K278" s="105">
        <v>7.4999999999999997E-2</v>
      </c>
      <c r="L278" s="106">
        <v>0.9</v>
      </c>
      <c r="M278" s="107">
        <v>9</v>
      </c>
      <c r="N278" s="107"/>
      <c r="O278" s="106">
        <v>12</v>
      </c>
      <c r="P278" s="107">
        <f t="shared" si="110"/>
        <v>209250</v>
      </c>
      <c r="Q278" s="107">
        <f t="shared" si="111"/>
        <v>2426624.263593276</v>
      </c>
      <c r="R278" s="107">
        <f t="shared" si="112"/>
        <v>126942.78178922326</v>
      </c>
      <c r="S278" s="107">
        <f t="shared" si="113"/>
        <v>82307.218210776744</v>
      </c>
      <c r="T278" s="108">
        <v>0.606656065898319</v>
      </c>
      <c r="U278" s="107"/>
      <c r="V278" s="106"/>
      <c r="W278" s="107">
        <f t="shared" si="108"/>
        <v>2426624.263593276</v>
      </c>
      <c r="X278" s="107">
        <f t="shared" si="108"/>
        <v>126942.78178922326</v>
      </c>
      <c r="Y278" s="109">
        <f t="shared" si="109"/>
        <v>2426624.263593276</v>
      </c>
      <c r="Z278" s="109">
        <f t="shared" si="109"/>
        <v>126942.78178922326</v>
      </c>
      <c r="AA278" s="109"/>
      <c r="AB278" s="109"/>
      <c r="AC278" s="109">
        <f t="shared" si="120"/>
        <v>126942.78178922326</v>
      </c>
      <c r="AD278" s="110">
        <v>2183961.8372339485</v>
      </c>
      <c r="AE278" s="110">
        <f t="shared" si="92"/>
        <v>2426624.263593276</v>
      </c>
      <c r="AF278" s="110"/>
      <c r="AG278" s="111">
        <v>-126942.78</v>
      </c>
      <c r="AH278" s="111"/>
      <c r="AI278" s="111"/>
      <c r="AJ278" s="111"/>
      <c r="AK278" s="111"/>
      <c r="AL278" s="111">
        <f t="shared" si="106"/>
        <v>1.7892232572194189E-3</v>
      </c>
      <c r="AM278" s="111"/>
      <c r="AN278" s="111"/>
      <c r="AO278" s="111"/>
      <c r="AP278" s="111">
        <f t="shared" si="103"/>
        <v>1.7892232572194189E-3</v>
      </c>
      <c r="AQ278" s="111"/>
      <c r="AR278" s="111">
        <f t="shared" si="117"/>
        <v>1.7892232572194189E-3</v>
      </c>
      <c r="AS278" s="111"/>
      <c r="AT278" s="111">
        <v>0</v>
      </c>
      <c r="AU278" s="111">
        <f t="shared" si="121"/>
        <v>1.7892232572194189E-3</v>
      </c>
      <c r="AV278" s="111"/>
      <c r="AW278" s="111"/>
      <c r="AX278" s="111"/>
      <c r="AY278" s="111"/>
      <c r="AZ278" s="111"/>
      <c r="BA278" s="111">
        <f t="shared" si="116"/>
        <v>0</v>
      </c>
      <c r="BB278" s="111"/>
      <c r="BC278" s="111"/>
      <c r="BD278" s="111"/>
      <c r="BE278" s="111"/>
      <c r="BF278" s="111"/>
      <c r="BG278" s="111"/>
      <c r="BH278" s="111">
        <f t="shared" si="114"/>
        <v>0</v>
      </c>
      <c r="BI278" s="111"/>
      <c r="BJ278" s="112">
        <f t="shared" si="96"/>
        <v>2729952.2965424354</v>
      </c>
      <c r="BK278" s="112"/>
      <c r="BL278" s="133">
        <v>-2729952.3</v>
      </c>
      <c r="BM278" s="113"/>
      <c r="BN278" s="113"/>
      <c r="BO278" s="113"/>
      <c r="BP278" s="113"/>
      <c r="BQ278" s="114">
        <f t="shared" si="107"/>
        <v>-3.4575643949210644E-3</v>
      </c>
      <c r="BR278" s="114">
        <f t="shared" si="104"/>
        <v>4.3974765154394316E-2</v>
      </c>
      <c r="BS278" s="98"/>
      <c r="BT278" s="98"/>
      <c r="BU278" s="98"/>
      <c r="BV278" s="115">
        <f t="shared" si="105"/>
        <v>5.1303892680126695E-2</v>
      </c>
      <c r="BW278" s="115"/>
      <c r="BX278" s="116">
        <f t="shared" si="119"/>
        <v>7.9521033654196396E-2</v>
      </c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7"/>
    </row>
    <row r="279" spans="1:92" s="120" customFormat="1" ht="36.75" customHeight="1" x14ac:dyDescent="0.2">
      <c r="A279" s="120">
        <f t="shared" si="123"/>
        <v>138</v>
      </c>
      <c r="B279" s="99">
        <f t="shared" si="115"/>
        <v>267</v>
      </c>
      <c r="C279" s="122" t="s">
        <v>494</v>
      </c>
      <c r="D279" s="123" t="s">
        <v>495</v>
      </c>
      <c r="E279" s="122" t="s">
        <v>95</v>
      </c>
      <c r="F279" s="100"/>
      <c r="G279" s="124">
        <v>43497</v>
      </c>
      <c r="H279" s="124">
        <v>43497</v>
      </c>
      <c r="I279" s="125">
        <v>4000000</v>
      </c>
      <c r="J279" s="126">
        <v>7.7499999999999999E-2</v>
      </c>
      <c r="K279" s="105">
        <v>7.4999999999999997E-2</v>
      </c>
      <c r="L279" s="127">
        <v>0.9</v>
      </c>
      <c r="M279" s="128">
        <v>10</v>
      </c>
      <c r="N279" s="128"/>
      <c r="O279" s="127">
        <v>12</v>
      </c>
      <c r="P279" s="128">
        <f t="shared" si="110"/>
        <v>232500</v>
      </c>
      <c r="Q279" s="128">
        <f t="shared" si="111"/>
        <v>2426624.263593276</v>
      </c>
      <c r="R279" s="128">
        <f t="shared" si="112"/>
        <v>141047.53532135917</v>
      </c>
      <c r="S279" s="128">
        <f t="shared" si="113"/>
        <v>91452.464678640827</v>
      </c>
      <c r="T279" s="129">
        <v>0.606656065898319</v>
      </c>
      <c r="U279" s="172">
        <v>4000000</v>
      </c>
      <c r="V279" s="141">
        <v>232500</v>
      </c>
      <c r="W279" s="128">
        <f t="shared" si="108"/>
        <v>-1573375.736406724</v>
      </c>
      <c r="X279" s="128">
        <f t="shared" si="108"/>
        <v>-91452.464678640827</v>
      </c>
      <c r="Y279" s="130">
        <f t="shared" si="109"/>
        <v>-1573375.736406724</v>
      </c>
      <c r="Z279" s="130">
        <f t="shared" si="109"/>
        <v>-91452.464678640827</v>
      </c>
      <c r="AA279" s="130"/>
      <c r="AB279" s="130"/>
      <c r="AC279" s="130">
        <f t="shared" si="120"/>
        <v>-91452.464678640827</v>
      </c>
      <c r="AD279" s="131">
        <v>-1573375.7364067237</v>
      </c>
      <c r="AE279" s="131">
        <f t="shared" si="92"/>
        <v>-1748195.2626741375</v>
      </c>
      <c r="AF279" s="131"/>
      <c r="AG279" s="132"/>
      <c r="AH279" s="132"/>
      <c r="AI279" s="132"/>
      <c r="AJ279" s="132"/>
      <c r="AK279" s="132"/>
      <c r="AL279" s="111">
        <f t="shared" si="106"/>
        <v>-91452.464678640827</v>
      </c>
      <c r="AM279" s="111"/>
      <c r="AN279" s="111"/>
      <c r="AO279" s="111"/>
      <c r="AP279" s="111">
        <f t="shared" si="103"/>
        <v>-91452.464678640827</v>
      </c>
      <c r="AQ279" s="111"/>
      <c r="AR279" s="111">
        <f t="shared" si="117"/>
        <v>-91452.464678640827</v>
      </c>
      <c r="AS279" s="111"/>
      <c r="AT279" s="111">
        <v>0</v>
      </c>
      <c r="AU279" s="111"/>
      <c r="AV279" s="111"/>
      <c r="AW279" s="111"/>
      <c r="AX279" s="111"/>
      <c r="AY279" s="111"/>
      <c r="AZ279" s="111"/>
      <c r="BA279" s="111">
        <f t="shared" si="116"/>
        <v>0</v>
      </c>
      <c r="BB279" s="111"/>
      <c r="BC279" s="111"/>
      <c r="BD279" s="111"/>
      <c r="BE279" s="111"/>
      <c r="BF279" s="111"/>
      <c r="BG279" s="111"/>
      <c r="BH279" s="111">
        <f t="shared" si="114"/>
        <v>0</v>
      </c>
      <c r="BI279" s="111"/>
      <c r="BJ279" s="133">
        <f t="shared" si="96"/>
        <v>-1966719.6705084047</v>
      </c>
      <c r="BK279" s="134"/>
      <c r="BL279" s="134"/>
      <c r="BM279" s="135"/>
      <c r="BN279" s="135"/>
      <c r="BO279" s="135"/>
      <c r="BP279" s="135"/>
      <c r="BQ279" s="114">
        <f t="shared" si="107"/>
        <v>-1966719.6705084047</v>
      </c>
      <c r="BR279" s="114">
        <f t="shared" si="104"/>
        <v>-2247679.6234381767</v>
      </c>
      <c r="BS279" s="136"/>
      <c r="BT279" s="136"/>
      <c r="BU279" s="136"/>
      <c r="BV279" s="115">
        <f t="shared" si="105"/>
        <v>-2622292.8940112065</v>
      </c>
      <c r="BW279" s="115"/>
      <c r="BX279" s="116">
        <f t="shared" si="119"/>
        <v>-4064553.9857173702</v>
      </c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>
        <v>0</v>
      </c>
      <c r="CL279" s="116"/>
      <c r="CM279" s="119"/>
    </row>
    <row r="280" spans="1:92" s="120" customFormat="1" ht="45" customHeight="1" x14ac:dyDescent="0.2">
      <c r="B280" s="99">
        <f t="shared" si="115"/>
        <v>268</v>
      </c>
      <c r="C280" s="122" t="s">
        <v>494</v>
      </c>
      <c r="D280" s="123" t="s">
        <v>495</v>
      </c>
      <c r="E280" s="122" t="s">
        <v>95</v>
      </c>
      <c r="F280" s="100" t="s">
        <v>96</v>
      </c>
      <c r="G280" s="124"/>
      <c r="H280" s="124" t="s">
        <v>97</v>
      </c>
      <c r="I280" s="125"/>
      <c r="J280" s="126"/>
      <c r="K280" s="105">
        <v>7.4999999999999997E-2</v>
      </c>
      <c r="L280" s="106">
        <v>0.9</v>
      </c>
      <c r="M280" s="107">
        <v>9</v>
      </c>
      <c r="N280" s="107">
        <v>4</v>
      </c>
      <c r="O280" s="106">
        <v>12</v>
      </c>
      <c r="P280" s="128"/>
      <c r="Q280" s="128">
        <f t="shared" si="111"/>
        <v>0</v>
      </c>
      <c r="R280" s="128"/>
      <c r="S280" s="128"/>
      <c r="T280" s="129"/>
      <c r="U280" s="172"/>
      <c r="V280" s="141"/>
      <c r="W280" s="128"/>
      <c r="X280" s="128"/>
      <c r="Y280" s="130"/>
      <c r="Z280" s="130"/>
      <c r="AA280" s="130"/>
      <c r="AB280" s="130"/>
      <c r="AC280" s="130"/>
      <c r="AD280" s="131"/>
      <c r="AE280" s="131"/>
      <c r="AF280" s="131"/>
      <c r="AG280" s="132"/>
      <c r="AH280" s="132"/>
      <c r="AI280" s="132"/>
      <c r="AJ280" s="132"/>
      <c r="AK280" s="132"/>
      <c r="AL280" s="111"/>
      <c r="AM280" s="111"/>
      <c r="AN280" s="111"/>
      <c r="AO280" s="111"/>
      <c r="AP280" s="111"/>
      <c r="AQ280" s="111"/>
      <c r="AR280" s="111">
        <f t="shared" si="117"/>
        <v>0</v>
      </c>
      <c r="AS280" s="111"/>
      <c r="AT280" s="111">
        <v>0</v>
      </c>
      <c r="AU280" s="111">
        <f t="shared" ref="AU280:AU326" si="124">AR280-AT280</f>
        <v>0</v>
      </c>
      <c r="AV280" s="111"/>
      <c r="AW280" s="111"/>
      <c r="AX280" s="111"/>
      <c r="AY280" s="111"/>
      <c r="AZ280" s="111"/>
      <c r="BA280" s="300">
        <f t="shared" ref="BA280" si="125">CL280*7.25%*0.9*3.5/12</f>
        <v>95156.25</v>
      </c>
      <c r="BB280" s="111">
        <v>95156.27</v>
      </c>
      <c r="BC280" s="111"/>
      <c r="BD280" s="111"/>
      <c r="BE280" s="111"/>
      <c r="BF280" s="111"/>
      <c r="BG280" s="111"/>
      <c r="BH280" s="111">
        <f t="shared" si="114"/>
        <v>-2.0000000004074536E-2</v>
      </c>
      <c r="BI280" s="111">
        <v>0</v>
      </c>
      <c r="BJ280" s="133"/>
      <c r="BK280" s="134"/>
      <c r="BL280" s="134"/>
      <c r="BM280" s="135"/>
      <c r="BN280" s="135"/>
      <c r="BO280" s="135"/>
      <c r="BP280" s="135"/>
      <c r="BQ280" s="114"/>
      <c r="BR280" s="114"/>
      <c r="BS280" s="136"/>
      <c r="BT280" s="136"/>
      <c r="BU280" s="136"/>
      <c r="BV280" s="115"/>
      <c r="BW280" s="115"/>
      <c r="BX280" s="116">
        <f t="shared" si="119"/>
        <v>0</v>
      </c>
      <c r="BY280" s="116"/>
      <c r="BZ280" s="116"/>
      <c r="CA280" s="116"/>
      <c r="CB280" s="116"/>
      <c r="CC280" s="116"/>
      <c r="CD280" s="116"/>
      <c r="CE280" s="116">
        <v>5000000</v>
      </c>
      <c r="CF280" s="116"/>
      <c r="CG280" s="116"/>
      <c r="CH280" s="116"/>
      <c r="CI280" s="116"/>
      <c r="CJ280" s="116"/>
      <c r="CK280" s="116">
        <v>0</v>
      </c>
      <c r="CL280" s="116">
        <v>5000000</v>
      </c>
      <c r="CM280" s="119" t="s">
        <v>105</v>
      </c>
      <c r="CN280" s="120" t="s">
        <v>106</v>
      </c>
    </row>
    <row r="281" spans="1:92" s="120" customFormat="1" ht="40.5" customHeight="1" x14ac:dyDescent="0.2">
      <c r="A281" s="120">
        <f>A279+1</f>
        <v>139</v>
      </c>
      <c r="B281" s="99">
        <f t="shared" si="115"/>
        <v>269</v>
      </c>
      <c r="C281" s="122" t="s">
        <v>496</v>
      </c>
      <c r="D281" s="123" t="s">
        <v>497</v>
      </c>
      <c r="E281" s="122" t="s">
        <v>95</v>
      </c>
      <c r="F281" s="100" t="s">
        <v>96</v>
      </c>
      <c r="G281" s="124">
        <v>43525</v>
      </c>
      <c r="H281" s="124" t="s">
        <v>196</v>
      </c>
      <c r="I281" s="125">
        <v>3000000</v>
      </c>
      <c r="J281" s="126">
        <v>7.7499999999999999E-2</v>
      </c>
      <c r="K281" s="105">
        <v>7.4999999999999997E-2</v>
      </c>
      <c r="L281" s="127">
        <v>0.9</v>
      </c>
      <c r="M281" s="128">
        <v>9</v>
      </c>
      <c r="N281" s="128">
        <v>4</v>
      </c>
      <c r="O281" s="127">
        <v>12</v>
      </c>
      <c r="P281" s="128">
        <f t="shared" si="110"/>
        <v>156937.5</v>
      </c>
      <c r="Q281" s="128">
        <f t="shared" si="111"/>
        <v>1819968.197694957</v>
      </c>
      <c r="R281" s="128">
        <f t="shared" si="112"/>
        <v>95207.086341917442</v>
      </c>
      <c r="S281" s="128">
        <f t="shared" si="113"/>
        <v>61730.413658082558</v>
      </c>
      <c r="T281" s="129">
        <v>0.606656065898319</v>
      </c>
      <c r="U281" s="128"/>
      <c r="V281" s="127"/>
      <c r="W281" s="128">
        <f t="shared" si="108"/>
        <v>1819968.197694957</v>
      </c>
      <c r="X281" s="128">
        <f t="shared" si="108"/>
        <v>95207.086341917442</v>
      </c>
      <c r="Y281" s="130">
        <f t="shared" si="109"/>
        <v>1819968.197694957</v>
      </c>
      <c r="Z281" s="130">
        <f t="shared" si="109"/>
        <v>95207.086341917442</v>
      </c>
      <c r="AA281" s="130">
        <v>0</v>
      </c>
      <c r="AB281" s="130"/>
      <c r="AC281" s="130">
        <f t="shared" si="120"/>
        <v>95207.086341917442</v>
      </c>
      <c r="AD281" s="131">
        <v>-1162028.6220745386</v>
      </c>
      <c r="AE281" s="131">
        <f t="shared" si="92"/>
        <v>1819968.1976949573</v>
      </c>
      <c r="AF281" s="131"/>
      <c r="AG281" s="132"/>
      <c r="AH281" s="132"/>
      <c r="AI281" s="132"/>
      <c r="AJ281" s="132"/>
      <c r="AK281" s="132"/>
      <c r="AL281" s="111">
        <f t="shared" si="106"/>
        <v>95207.086341917442</v>
      </c>
      <c r="AM281" s="111"/>
      <c r="AN281" s="111"/>
      <c r="AO281" s="111"/>
      <c r="AP281" s="111">
        <f t="shared" si="103"/>
        <v>95207.086341917442</v>
      </c>
      <c r="AQ281" s="111"/>
      <c r="AR281" s="111">
        <f t="shared" si="117"/>
        <v>95207.086341917442</v>
      </c>
      <c r="AS281" s="111"/>
      <c r="AT281" s="111">
        <f>BY281*K281*L281*N281/O281</f>
        <v>36000</v>
      </c>
      <c r="AU281" s="111">
        <f t="shared" si="124"/>
        <v>59207.086341917442</v>
      </c>
      <c r="AV281" s="111"/>
      <c r="AW281" s="111">
        <v>35506.85</v>
      </c>
      <c r="AX281" s="111"/>
      <c r="AY281" s="111">
        <v>0</v>
      </c>
      <c r="AZ281" s="111"/>
      <c r="BA281" s="85">
        <f t="shared" si="116"/>
        <v>0</v>
      </c>
      <c r="BB281" s="85"/>
      <c r="BC281" s="85"/>
      <c r="BD281" s="85"/>
      <c r="BE281" s="85"/>
      <c r="BF281" s="85"/>
      <c r="BG281" s="85"/>
      <c r="BH281" s="111">
        <f t="shared" si="114"/>
        <v>0</v>
      </c>
      <c r="BI281" s="111"/>
      <c r="BJ281" s="112">
        <f t="shared" si="96"/>
        <v>2047464.2224068269</v>
      </c>
      <c r="BK281" s="134"/>
      <c r="BL281" s="134"/>
      <c r="BM281" s="135"/>
      <c r="BN281" s="135"/>
      <c r="BO281" s="135"/>
      <c r="BP281" s="135"/>
      <c r="BQ281" s="114">
        <f t="shared" si="107"/>
        <v>2047464.2224068269</v>
      </c>
      <c r="BR281" s="114">
        <f t="shared" si="104"/>
        <v>2339959.1113220882</v>
      </c>
      <c r="BS281" s="136"/>
      <c r="BT281" s="136"/>
      <c r="BU281" s="136"/>
      <c r="BV281" s="115">
        <f t="shared" si="105"/>
        <v>2729952.2965424359</v>
      </c>
      <c r="BW281" s="115"/>
      <c r="BX281" s="116">
        <f t="shared" si="119"/>
        <v>4231426.0596407754</v>
      </c>
      <c r="BY281" s="116">
        <v>1600000</v>
      </c>
      <c r="BZ281" s="116"/>
      <c r="CA281" s="116">
        <v>1600000</v>
      </c>
      <c r="CB281" s="116"/>
      <c r="CC281" s="116"/>
      <c r="CD281" s="116">
        <v>0</v>
      </c>
      <c r="CE281" s="116"/>
      <c r="CF281" s="116"/>
      <c r="CG281" s="116"/>
      <c r="CH281" s="116"/>
      <c r="CI281" s="116"/>
      <c r="CJ281" s="116"/>
      <c r="CK281" s="116">
        <v>0</v>
      </c>
      <c r="CL281" s="116"/>
      <c r="CM281" s="119"/>
    </row>
    <row r="282" spans="1:92" s="120" customFormat="1" ht="40.5" customHeight="1" x14ac:dyDescent="0.2">
      <c r="A282" s="120">
        <f>A281+1</f>
        <v>140</v>
      </c>
      <c r="B282" s="99">
        <f t="shared" si="115"/>
        <v>270</v>
      </c>
      <c r="C282" s="122" t="s">
        <v>498</v>
      </c>
      <c r="D282" s="123" t="s">
        <v>499</v>
      </c>
      <c r="E282" s="122" t="s">
        <v>95</v>
      </c>
      <c r="F282" s="100" t="s">
        <v>96</v>
      </c>
      <c r="G282" s="124">
        <v>43497</v>
      </c>
      <c r="H282" s="124">
        <v>43497</v>
      </c>
      <c r="I282" s="125">
        <v>1000000</v>
      </c>
      <c r="J282" s="126">
        <v>7.7499999999999999E-2</v>
      </c>
      <c r="K282" s="105">
        <v>7.4999999999999997E-2</v>
      </c>
      <c r="L282" s="127">
        <v>0.9</v>
      </c>
      <c r="M282" s="128">
        <v>10</v>
      </c>
      <c r="N282" s="128"/>
      <c r="O282" s="127">
        <v>12</v>
      </c>
      <c r="P282" s="128">
        <f t="shared" si="110"/>
        <v>58125</v>
      </c>
      <c r="Q282" s="128">
        <f t="shared" si="111"/>
        <v>606656.06589831901</v>
      </c>
      <c r="R282" s="128">
        <f t="shared" si="112"/>
        <v>35261.883830339793</v>
      </c>
      <c r="S282" s="128">
        <f t="shared" si="113"/>
        <v>22863.116169660207</v>
      </c>
      <c r="T282" s="129">
        <v>0.606656065898319</v>
      </c>
      <c r="U282" s="128"/>
      <c r="V282" s="127"/>
      <c r="W282" s="128">
        <f t="shared" si="108"/>
        <v>606656.06589831901</v>
      </c>
      <c r="X282" s="128">
        <f t="shared" si="108"/>
        <v>35261.883830339793</v>
      </c>
      <c r="Y282" s="130">
        <f t="shared" si="109"/>
        <v>606656.06589831901</v>
      </c>
      <c r="Z282" s="130">
        <f t="shared" si="109"/>
        <v>35261.883830339793</v>
      </c>
      <c r="AA282" s="130">
        <v>34259.67</v>
      </c>
      <c r="AB282" s="130"/>
      <c r="AC282" s="130">
        <f t="shared" si="120"/>
        <v>1002.2138303397951</v>
      </c>
      <c r="AD282" s="131">
        <v>-393343.93410168099</v>
      </c>
      <c r="AE282" s="131">
        <f t="shared" si="92"/>
        <v>19158.209421071351</v>
      </c>
      <c r="AF282" s="131"/>
      <c r="AG282" s="132"/>
      <c r="AH282" s="132"/>
      <c r="AI282" s="132"/>
      <c r="AJ282" s="132"/>
      <c r="AK282" s="132"/>
      <c r="AL282" s="111">
        <f t="shared" si="106"/>
        <v>1002.2138303397951</v>
      </c>
      <c r="AM282" s="111"/>
      <c r="AN282" s="111"/>
      <c r="AO282" s="111"/>
      <c r="AP282" s="111">
        <f t="shared" si="103"/>
        <v>1002.2138303397951</v>
      </c>
      <c r="AQ282" s="111"/>
      <c r="AR282" s="111">
        <f t="shared" si="117"/>
        <v>1002.2138303397951</v>
      </c>
      <c r="AS282" s="111"/>
      <c r="AT282" s="111">
        <v>0</v>
      </c>
      <c r="AU282" s="111">
        <f t="shared" si="124"/>
        <v>1002.2138303397951</v>
      </c>
      <c r="AV282" s="111"/>
      <c r="AW282" s="111"/>
      <c r="AX282" s="111"/>
      <c r="AY282" s="111"/>
      <c r="AZ282" s="111"/>
      <c r="BA282" s="85">
        <f t="shared" si="116"/>
        <v>0</v>
      </c>
      <c r="BB282" s="85"/>
      <c r="BC282" s="85"/>
      <c r="BD282" s="85"/>
      <c r="BE282" s="85"/>
      <c r="BF282" s="85"/>
      <c r="BG282" s="85"/>
      <c r="BH282" s="111">
        <f t="shared" si="114"/>
        <v>0</v>
      </c>
      <c r="BI282" s="111"/>
      <c r="BJ282" s="112">
        <f t="shared" si="96"/>
        <v>21552.985598705272</v>
      </c>
      <c r="BK282" s="134"/>
      <c r="BL282" s="134"/>
      <c r="BM282" s="135"/>
      <c r="BN282" s="135"/>
      <c r="BO282" s="135"/>
      <c r="BP282" s="135"/>
      <c r="BQ282" s="114">
        <f t="shared" si="107"/>
        <v>21552.985598705272</v>
      </c>
      <c r="BR282" s="114">
        <f t="shared" si="104"/>
        <v>24631.983541377449</v>
      </c>
      <c r="BS282" s="136"/>
      <c r="BT282" s="136"/>
      <c r="BU282" s="136"/>
      <c r="BV282" s="115">
        <f t="shared" si="105"/>
        <v>28737.314131607025</v>
      </c>
      <c r="BW282" s="115"/>
      <c r="BX282" s="116">
        <f t="shared" si="119"/>
        <v>44542.836903990894</v>
      </c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>
        <v>0</v>
      </c>
      <c r="CL282" s="116"/>
      <c r="CM282" s="119"/>
    </row>
    <row r="283" spans="1:92" ht="57.75" hidden="1" customHeight="1" x14ac:dyDescent="0.2">
      <c r="A283" s="196">
        <f t="shared" ref="A283:A294" si="126">A282+1</f>
        <v>141</v>
      </c>
      <c r="B283" s="99">
        <f t="shared" si="115"/>
        <v>271</v>
      </c>
      <c r="C283" s="231" t="s">
        <v>500</v>
      </c>
      <c r="D283" s="232" t="s">
        <v>501</v>
      </c>
      <c r="E283" s="231" t="s">
        <v>151</v>
      </c>
      <c r="F283" s="231"/>
      <c r="G283" s="233">
        <v>43497</v>
      </c>
      <c r="H283" s="233"/>
      <c r="I283" s="234"/>
      <c r="J283" s="235">
        <v>7.7499999999999999E-2</v>
      </c>
      <c r="K283" s="76">
        <v>7.4999999999999997E-2</v>
      </c>
      <c r="L283" s="236">
        <v>0.9</v>
      </c>
      <c r="M283" s="237">
        <v>10</v>
      </c>
      <c r="N283" s="237"/>
      <c r="O283" s="236">
        <v>12</v>
      </c>
      <c r="P283" s="237">
        <f t="shared" si="110"/>
        <v>0</v>
      </c>
      <c r="Q283" s="237">
        <f t="shared" si="111"/>
        <v>0</v>
      </c>
      <c r="R283" s="237">
        <f t="shared" si="112"/>
        <v>0</v>
      </c>
      <c r="S283" s="237">
        <f t="shared" si="113"/>
        <v>0</v>
      </c>
      <c r="T283" s="238">
        <v>0.606656065898319</v>
      </c>
      <c r="U283" s="237"/>
      <c r="V283" s="236"/>
      <c r="W283" s="237">
        <f t="shared" si="108"/>
        <v>0</v>
      </c>
      <c r="X283" s="237">
        <f t="shared" si="108"/>
        <v>0</v>
      </c>
      <c r="Y283" s="239">
        <f t="shared" si="109"/>
        <v>0</v>
      </c>
      <c r="Z283" s="239">
        <f t="shared" si="109"/>
        <v>0</v>
      </c>
      <c r="AA283" s="239"/>
      <c r="AB283" s="239"/>
      <c r="AC283" s="239">
        <f t="shared" si="120"/>
        <v>0</v>
      </c>
      <c r="AD283" s="241">
        <v>0</v>
      </c>
      <c r="AE283" s="241">
        <f t="shared" si="92"/>
        <v>0</v>
      </c>
      <c r="AF283" s="241"/>
      <c r="AG283" s="83"/>
      <c r="AH283" s="242"/>
      <c r="AI283" s="83"/>
      <c r="AJ283" s="83"/>
      <c r="AK283" s="84"/>
      <c r="AL283" s="82">
        <f t="shared" si="106"/>
        <v>0</v>
      </c>
      <c r="AM283" s="82"/>
      <c r="AN283" s="82"/>
      <c r="AO283" s="82"/>
      <c r="AP283" s="82">
        <f t="shared" si="103"/>
        <v>0</v>
      </c>
      <c r="AQ283" s="82"/>
      <c r="AR283" s="82">
        <f t="shared" si="117"/>
        <v>0</v>
      </c>
      <c r="AS283" s="82"/>
      <c r="AT283" s="82">
        <v>0</v>
      </c>
      <c r="AU283" s="85">
        <f t="shared" si="124"/>
        <v>0</v>
      </c>
      <c r="AV283" s="85"/>
      <c r="AW283" s="86"/>
      <c r="AX283" s="86"/>
      <c r="AY283" s="85"/>
      <c r="AZ283" s="85"/>
      <c r="BA283" s="85">
        <f t="shared" si="116"/>
        <v>0</v>
      </c>
      <c r="BB283" s="85"/>
      <c r="BC283" s="85"/>
      <c r="BD283" s="85"/>
      <c r="BE283" s="85"/>
      <c r="BF283" s="85"/>
      <c r="BG283" s="85"/>
      <c r="BH283" s="85">
        <f t="shared" si="114"/>
        <v>0</v>
      </c>
      <c r="BI283" s="85"/>
      <c r="BJ283" s="243">
        <f t="shared" si="96"/>
        <v>0</v>
      </c>
      <c r="BK283" s="243"/>
      <c r="BL283" s="243"/>
      <c r="BM283" s="244"/>
      <c r="BN283" s="89"/>
      <c r="BO283" s="89"/>
      <c r="BP283" s="90"/>
      <c r="BQ283" s="91">
        <f t="shared" si="107"/>
        <v>0</v>
      </c>
      <c r="BR283" s="91">
        <f t="shared" si="104"/>
        <v>0</v>
      </c>
      <c r="BS283" s="245"/>
      <c r="BT283" s="245"/>
      <c r="BU283" s="245"/>
      <c r="BV283" s="92">
        <f t="shared" si="105"/>
        <v>0</v>
      </c>
      <c r="BW283" s="92"/>
      <c r="BX283" s="93">
        <f t="shared" si="119"/>
        <v>0</v>
      </c>
      <c r="BY283" s="93"/>
      <c r="BZ283" s="93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5"/>
      <c r="CL283" s="93"/>
      <c r="CM283" s="230"/>
      <c r="CN283" s="148" t="s">
        <v>151</v>
      </c>
    </row>
    <row r="284" spans="1:92" ht="57.75" hidden="1" customHeight="1" x14ac:dyDescent="0.2">
      <c r="A284" s="196">
        <f t="shared" si="126"/>
        <v>142</v>
      </c>
      <c r="B284" s="99">
        <f t="shared" si="115"/>
        <v>272</v>
      </c>
      <c r="C284" s="231" t="s">
        <v>500</v>
      </c>
      <c r="D284" s="232" t="s">
        <v>501</v>
      </c>
      <c r="E284" s="231" t="s">
        <v>151</v>
      </c>
      <c r="F284" s="231"/>
      <c r="G284" s="233">
        <v>43525</v>
      </c>
      <c r="H284" s="233"/>
      <c r="I284" s="234"/>
      <c r="J284" s="235">
        <v>7.7499999999999999E-2</v>
      </c>
      <c r="K284" s="76">
        <v>7.4999999999999997E-2</v>
      </c>
      <c r="L284" s="236">
        <v>0.9</v>
      </c>
      <c r="M284" s="237">
        <v>9</v>
      </c>
      <c r="N284" s="237"/>
      <c r="O284" s="236">
        <v>12</v>
      </c>
      <c r="P284" s="237">
        <f t="shared" si="110"/>
        <v>0</v>
      </c>
      <c r="Q284" s="237">
        <f t="shared" si="111"/>
        <v>0</v>
      </c>
      <c r="R284" s="237">
        <f t="shared" si="112"/>
        <v>0</v>
      </c>
      <c r="S284" s="237">
        <f t="shared" si="113"/>
        <v>0</v>
      </c>
      <c r="T284" s="238">
        <v>0.606656065898319</v>
      </c>
      <c r="U284" s="237"/>
      <c r="V284" s="236"/>
      <c r="W284" s="237">
        <f t="shared" si="108"/>
        <v>0</v>
      </c>
      <c r="X284" s="237">
        <f t="shared" si="108"/>
        <v>0</v>
      </c>
      <c r="Y284" s="239">
        <f t="shared" si="109"/>
        <v>0</v>
      </c>
      <c r="Z284" s="239">
        <f t="shared" si="109"/>
        <v>0</v>
      </c>
      <c r="AA284" s="239"/>
      <c r="AB284" s="239"/>
      <c r="AC284" s="239">
        <f t="shared" si="120"/>
        <v>0</v>
      </c>
      <c r="AD284" s="241">
        <v>0</v>
      </c>
      <c r="AE284" s="241">
        <f t="shared" si="92"/>
        <v>0</v>
      </c>
      <c r="AF284" s="241"/>
      <c r="AG284" s="83"/>
      <c r="AH284" s="242"/>
      <c r="AI284" s="83"/>
      <c r="AJ284" s="83"/>
      <c r="AK284" s="84"/>
      <c r="AL284" s="82">
        <f t="shared" si="106"/>
        <v>0</v>
      </c>
      <c r="AM284" s="82"/>
      <c r="AN284" s="82"/>
      <c r="AO284" s="82"/>
      <c r="AP284" s="82">
        <f t="shared" si="103"/>
        <v>0</v>
      </c>
      <c r="AQ284" s="82"/>
      <c r="AR284" s="82">
        <f t="shared" si="117"/>
        <v>0</v>
      </c>
      <c r="AS284" s="82"/>
      <c r="AT284" s="82">
        <v>0</v>
      </c>
      <c r="AU284" s="85">
        <f t="shared" si="124"/>
        <v>0</v>
      </c>
      <c r="AV284" s="85"/>
      <c r="AW284" s="86"/>
      <c r="AX284" s="86"/>
      <c r="AY284" s="85"/>
      <c r="AZ284" s="85"/>
      <c r="BA284" s="85">
        <f t="shared" si="116"/>
        <v>0</v>
      </c>
      <c r="BB284" s="85"/>
      <c r="BC284" s="85"/>
      <c r="BD284" s="85"/>
      <c r="BE284" s="85"/>
      <c r="BF284" s="85"/>
      <c r="BG284" s="85"/>
      <c r="BH284" s="85">
        <f t="shared" si="114"/>
        <v>0</v>
      </c>
      <c r="BI284" s="85"/>
      <c r="BJ284" s="243">
        <f t="shared" si="96"/>
        <v>0</v>
      </c>
      <c r="BK284" s="243"/>
      <c r="BL284" s="243"/>
      <c r="BM284" s="244"/>
      <c r="BN284" s="89"/>
      <c r="BO284" s="89"/>
      <c r="BP284" s="90"/>
      <c r="BQ284" s="91">
        <f t="shared" si="107"/>
        <v>0</v>
      </c>
      <c r="BR284" s="91">
        <f t="shared" si="104"/>
        <v>0</v>
      </c>
      <c r="BS284" s="245"/>
      <c r="BT284" s="245"/>
      <c r="BU284" s="245"/>
      <c r="BV284" s="92">
        <f t="shared" si="105"/>
        <v>0</v>
      </c>
      <c r="BW284" s="92"/>
      <c r="BX284" s="93">
        <f t="shared" si="119"/>
        <v>0</v>
      </c>
      <c r="BY284" s="93"/>
      <c r="BZ284" s="93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5"/>
      <c r="CL284" s="93"/>
      <c r="CM284" s="230"/>
      <c r="CN284" s="148" t="s">
        <v>151</v>
      </c>
    </row>
    <row r="285" spans="1:92" ht="57.75" hidden="1" customHeight="1" x14ac:dyDescent="0.2">
      <c r="A285" s="196">
        <f t="shared" si="126"/>
        <v>143</v>
      </c>
      <c r="B285" s="99">
        <f t="shared" si="115"/>
        <v>273</v>
      </c>
      <c r="C285" s="231" t="s">
        <v>500</v>
      </c>
      <c r="D285" s="232" t="s">
        <v>501</v>
      </c>
      <c r="E285" s="231" t="s">
        <v>151</v>
      </c>
      <c r="F285" s="231"/>
      <c r="G285" s="233">
        <v>43556</v>
      </c>
      <c r="H285" s="233"/>
      <c r="I285" s="234"/>
      <c r="J285" s="235">
        <v>7.7499999999999999E-2</v>
      </c>
      <c r="K285" s="76">
        <v>7.4999999999999997E-2</v>
      </c>
      <c r="L285" s="236">
        <v>0.9</v>
      </c>
      <c r="M285" s="237">
        <v>8</v>
      </c>
      <c r="N285" s="237"/>
      <c r="O285" s="236">
        <v>12</v>
      </c>
      <c r="P285" s="237">
        <f t="shared" si="110"/>
        <v>0</v>
      </c>
      <c r="Q285" s="237">
        <f t="shared" si="111"/>
        <v>0</v>
      </c>
      <c r="R285" s="237">
        <f t="shared" si="112"/>
        <v>0</v>
      </c>
      <c r="S285" s="237">
        <f t="shared" si="113"/>
        <v>0</v>
      </c>
      <c r="T285" s="238">
        <v>0.606656065898319</v>
      </c>
      <c r="U285" s="237"/>
      <c r="V285" s="236"/>
      <c r="W285" s="237">
        <f t="shared" si="108"/>
        <v>0</v>
      </c>
      <c r="X285" s="237">
        <f t="shared" si="108"/>
        <v>0</v>
      </c>
      <c r="Y285" s="239">
        <f t="shared" si="109"/>
        <v>0</v>
      </c>
      <c r="Z285" s="239">
        <f t="shared" si="109"/>
        <v>0</v>
      </c>
      <c r="AA285" s="239"/>
      <c r="AB285" s="239"/>
      <c r="AC285" s="239">
        <f t="shared" si="120"/>
        <v>0</v>
      </c>
      <c r="AD285" s="241">
        <v>0</v>
      </c>
      <c r="AE285" s="241">
        <f t="shared" si="92"/>
        <v>0</v>
      </c>
      <c r="AF285" s="241"/>
      <c r="AG285" s="83"/>
      <c r="AH285" s="242"/>
      <c r="AI285" s="83"/>
      <c r="AJ285" s="83"/>
      <c r="AK285" s="84"/>
      <c r="AL285" s="82">
        <f t="shared" si="106"/>
        <v>0</v>
      </c>
      <c r="AM285" s="82"/>
      <c r="AN285" s="82"/>
      <c r="AO285" s="82"/>
      <c r="AP285" s="82">
        <f t="shared" si="103"/>
        <v>0</v>
      </c>
      <c r="AQ285" s="82"/>
      <c r="AR285" s="82">
        <f t="shared" si="117"/>
        <v>0</v>
      </c>
      <c r="AS285" s="82"/>
      <c r="AT285" s="82">
        <v>0</v>
      </c>
      <c r="AU285" s="85">
        <f t="shared" si="124"/>
        <v>0</v>
      </c>
      <c r="AV285" s="85"/>
      <c r="AW285" s="86"/>
      <c r="AX285" s="86"/>
      <c r="AY285" s="85"/>
      <c r="AZ285" s="85"/>
      <c r="BA285" s="85">
        <f t="shared" si="116"/>
        <v>0</v>
      </c>
      <c r="BB285" s="85"/>
      <c r="BC285" s="85"/>
      <c r="BD285" s="85"/>
      <c r="BE285" s="85"/>
      <c r="BF285" s="85"/>
      <c r="BG285" s="85"/>
      <c r="BH285" s="85">
        <f t="shared" si="114"/>
        <v>0</v>
      </c>
      <c r="BI285" s="85"/>
      <c r="BJ285" s="243">
        <f t="shared" si="96"/>
        <v>0</v>
      </c>
      <c r="BK285" s="243"/>
      <c r="BL285" s="243"/>
      <c r="BM285" s="244"/>
      <c r="BN285" s="89"/>
      <c r="BO285" s="89"/>
      <c r="BP285" s="90"/>
      <c r="BQ285" s="91">
        <f t="shared" si="107"/>
        <v>0</v>
      </c>
      <c r="BR285" s="91">
        <f t="shared" si="104"/>
        <v>0</v>
      </c>
      <c r="BS285" s="245"/>
      <c r="BT285" s="245"/>
      <c r="BU285" s="245"/>
      <c r="BV285" s="92">
        <f t="shared" si="105"/>
        <v>0</v>
      </c>
      <c r="BW285" s="92"/>
      <c r="BX285" s="93">
        <f t="shared" si="119"/>
        <v>0</v>
      </c>
      <c r="BY285" s="93"/>
      <c r="BZ285" s="93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5"/>
      <c r="CL285" s="93"/>
      <c r="CM285" s="230"/>
      <c r="CN285" s="148" t="s">
        <v>151</v>
      </c>
    </row>
    <row r="286" spans="1:92" ht="57.75" hidden="1" customHeight="1" x14ac:dyDescent="0.2">
      <c r="A286" s="196">
        <f t="shared" si="126"/>
        <v>144</v>
      </c>
      <c r="B286" s="99">
        <f t="shared" si="115"/>
        <v>274</v>
      </c>
      <c r="C286" s="231" t="s">
        <v>500</v>
      </c>
      <c r="D286" s="232" t="s">
        <v>501</v>
      </c>
      <c r="E286" s="231" t="s">
        <v>151</v>
      </c>
      <c r="F286" s="231"/>
      <c r="G286" s="233">
        <v>43586</v>
      </c>
      <c r="H286" s="233"/>
      <c r="I286" s="234"/>
      <c r="J286" s="235">
        <v>7.7499999999999999E-2</v>
      </c>
      <c r="K286" s="76">
        <v>7.4999999999999997E-2</v>
      </c>
      <c r="L286" s="236">
        <v>0.9</v>
      </c>
      <c r="M286" s="237">
        <v>7</v>
      </c>
      <c r="N286" s="237"/>
      <c r="O286" s="236">
        <v>12</v>
      </c>
      <c r="P286" s="237">
        <f t="shared" si="110"/>
        <v>0</v>
      </c>
      <c r="Q286" s="237">
        <f t="shared" si="111"/>
        <v>0</v>
      </c>
      <c r="R286" s="237">
        <f t="shared" si="112"/>
        <v>0</v>
      </c>
      <c r="S286" s="237">
        <f t="shared" si="113"/>
        <v>0</v>
      </c>
      <c r="T286" s="238">
        <v>0.606656065898319</v>
      </c>
      <c r="U286" s="237"/>
      <c r="V286" s="236"/>
      <c r="W286" s="237">
        <f t="shared" si="108"/>
        <v>0</v>
      </c>
      <c r="X286" s="237">
        <f t="shared" si="108"/>
        <v>0</v>
      </c>
      <c r="Y286" s="239">
        <f t="shared" si="109"/>
        <v>0</v>
      </c>
      <c r="Z286" s="239">
        <f t="shared" si="109"/>
        <v>0</v>
      </c>
      <c r="AA286" s="239"/>
      <c r="AB286" s="239"/>
      <c r="AC286" s="239">
        <f t="shared" si="120"/>
        <v>0</v>
      </c>
      <c r="AD286" s="241">
        <v>0</v>
      </c>
      <c r="AE286" s="241">
        <f t="shared" si="92"/>
        <v>0</v>
      </c>
      <c r="AF286" s="241"/>
      <c r="AG286" s="83"/>
      <c r="AH286" s="242"/>
      <c r="AI286" s="83"/>
      <c r="AJ286" s="83"/>
      <c r="AK286" s="84"/>
      <c r="AL286" s="82">
        <f t="shared" si="106"/>
        <v>0</v>
      </c>
      <c r="AM286" s="82"/>
      <c r="AN286" s="82"/>
      <c r="AO286" s="82"/>
      <c r="AP286" s="82">
        <f t="shared" si="103"/>
        <v>0</v>
      </c>
      <c r="AQ286" s="82"/>
      <c r="AR286" s="82">
        <f t="shared" si="117"/>
        <v>0</v>
      </c>
      <c r="AS286" s="82"/>
      <c r="AT286" s="82">
        <v>0</v>
      </c>
      <c r="AU286" s="85">
        <f t="shared" si="124"/>
        <v>0</v>
      </c>
      <c r="AV286" s="85"/>
      <c r="AW286" s="86"/>
      <c r="AX286" s="86"/>
      <c r="AY286" s="85"/>
      <c r="AZ286" s="85"/>
      <c r="BA286" s="85">
        <f t="shared" si="116"/>
        <v>0</v>
      </c>
      <c r="BB286" s="85"/>
      <c r="BC286" s="85"/>
      <c r="BD286" s="85"/>
      <c r="BE286" s="85"/>
      <c r="BF286" s="85"/>
      <c r="BG286" s="85"/>
      <c r="BH286" s="85">
        <f t="shared" si="114"/>
        <v>0</v>
      </c>
      <c r="BI286" s="85"/>
      <c r="BJ286" s="243">
        <f t="shared" si="96"/>
        <v>0</v>
      </c>
      <c r="BK286" s="243"/>
      <c r="BL286" s="243"/>
      <c r="BM286" s="244"/>
      <c r="BN286" s="89"/>
      <c r="BO286" s="89"/>
      <c r="BP286" s="90"/>
      <c r="BQ286" s="91">
        <f t="shared" si="107"/>
        <v>0</v>
      </c>
      <c r="BR286" s="91">
        <f t="shared" si="104"/>
        <v>0</v>
      </c>
      <c r="BS286" s="245"/>
      <c r="BT286" s="245"/>
      <c r="BU286" s="245"/>
      <c r="BV286" s="92">
        <f t="shared" si="105"/>
        <v>0</v>
      </c>
      <c r="BW286" s="92"/>
      <c r="BX286" s="93">
        <f t="shared" si="119"/>
        <v>0</v>
      </c>
      <c r="BY286" s="93"/>
      <c r="BZ286" s="93"/>
      <c r="CA286" s="94"/>
      <c r="CB286" s="94"/>
      <c r="CC286" s="94"/>
      <c r="CD286" s="94"/>
      <c r="CE286" s="94"/>
      <c r="CF286" s="94"/>
      <c r="CG286" s="94"/>
      <c r="CH286" s="94"/>
      <c r="CI286" s="94"/>
      <c r="CJ286" s="94"/>
      <c r="CK286" s="95"/>
      <c r="CL286" s="93"/>
      <c r="CM286" s="230"/>
      <c r="CN286" s="148" t="s">
        <v>151</v>
      </c>
    </row>
    <row r="287" spans="1:92" ht="57.75" hidden="1" customHeight="1" x14ac:dyDescent="0.2">
      <c r="A287" s="196">
        <f t="shared" si="126"/>
        <v>145</v>
      </c>
      <c r="B287" s="99">
        <f t="shared" si="115"/>
        <v>275</v>
      </c>
      <c r="C287" s="231" t="s">
        <v>500</v>
      </c>
      <c r="D287" s="232" t="s">
        <v>501</v>
      </c>
      <c r="E287" s="231" t="s">
        <v>151</v>
      </c>
      <c r="F287" s="231"/>
      <c r="G287" s="233">
        <v>43617</v>
      </c>
      <c r="H287" s="233"/>
      <c r="I287" s="234"/>
      <c r="J287" s="235">
        <v>7.7499999999999999E-2</v>
      </c>
      <c r="K287" s="76">
        <v>7.4999999999999997E-2</v>
      </c>
      <c r="L287" s="236">
        <v>0.9</v>
      </c>
      <c r="M287" s="237">
        <v>6</v>
      </c>
      <c r="N287" s="237"/>
      <c r="O287" s="236">
        <v>12</v>
      </c>
      <c r="P287" s="237">
        <f t="shared" si="110"/>
        <v>0</v>
      </c>
      <c r="Q287" s="237">
        <f t="shared" si="111"/>
        <v>0</v>
      </c>
      <c r="R287" s="237">
        <f t="shared" si="112"/>
        <v>0</v>
      </c>
      <c r="S287" s="237">
        <f t="shared" si="113"/>
        <v>0</v>
      </c>
      <c r="T287" s="238">
        <v>0.606656065898319</v>
      </c>
      <c r="U287" s="237"/>
      <c r="V287" s="236"/>
      <c r="W287" s="237">
        <f t="shared" si="108"/>
        <v>0</v>
      </c>
      <c r="X287" s="237">
        <f t="shared" si="108"/>
        <v>0</v>
      </c>
      <c r="Y287" s="239">
        <f t="shared" si="109"/>
        <v>0</v>
      </c>
      <c r="Z287" s="239">
        <f t="shared" si="109"/>
        <v>0</v>
      </c>
      <c r="AA287" s="239"/>
      <c r="AB287" s="239"/>
      <c r="AC287" s="239">
        <f t="shared" si="120"/>
        <v>0</v>
      </c>
      <c r="AD287" s="241">
        <v>0</v>
      </c>
      <c r="AE287" s="241">
        <f t="shared" si="92"/>
        <v>0</v>
      </c>
      <c r="AF287" s="241"/>
      <c r="AG287" s="83"/>
      <c r="AH287" s="242"/>
      <c r="AI287" s="83"/>
      <c r="AJ287" s="83"/>
      <c r="AK287" s="84"/>
      <c r="AL287" s="82">
        <f t="shared" si="106"/>
        <v>0</v>
      </c>
      <c r="AM287" s="82"/>
      <c r="AN287" s="82"/>
      <c r="AO287" s="82"/>
      <c r="AP287" s="82">
        <f t="shared" si="103"/>
        <v>0</v>
      </c>
      <c r="AQ287" s="82"/>
      <c r="AR287" s="82">
        <f t="shared" si="117"/>
        <v>0</v>
      </c>
      <c r="AS287" s="82"/>
      <c r="AT287" s="82">
        <v>0</v>
      </c>
      <c r="AU287" s="85">
        <f t="shared" si="124"/>
        <v>0</v>
      </c>
      <c r="AV287" s="85"/>
      <c r="AW287" s="86"/>
      <c r="AX287" s="86"/>
      <c r="AY287" s="85"/>
      <c r="AZ287" s="85"/>
      <c r="BA287" s="85">
        <f t="shared" si="116"/>
        <v>0</v>
      </c>
      <c r="BB287" s="85"/>
      <c r="BC287" s="85"/>
      <c r="BD287" s="85"/>
      <c r="BE287" s="85"/>
      <c r="BF287" s="85"/>
      <c r="BG287" s="85"/>
      <c r="BH287" s="85">
        <f t="shared" si="114"/>
        <v>0</v>
      </c>
      <c r="BI287" s="85"/>
      <c r="BJ287" s="243">
        <f t="shared" si="96"/>
        <v>0</v>
      </c>
      <c r="BK287" s="243"/>
      <c r="BL287" s="243"/>
      <c r="BM287" s="244"/>
      <c r="BN287" s="89"/>
      <c r="BO287" s="89"/>
      <c r="BP287" s="90"/>
      <c r="BQ287" s="91">
        <f t="shared" si="107"/>
        <v>0</v>
      </c>
      <c r="BR287" s="91">
        <f t="shared" si="104"/>
        <v>0</v>
      </c>
      <c r="BS287" s="245"/>
      <c r="BT287" s="245"/>
      <c r="BU287" s="245"/>
      <c r="BV287" s="92">
        <f t="shared" si="105"/>
        <v>0</v>
      </c>
      <c r="BW287" s="92"/>
      <c r="BX287" s="93">
        <f t="shared" si="119"/>
        <v>0</v>
      </c>
      <c r="BY287" s="93"/>
      <c r="BZ287" s="93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5"/>
      <c r="CL287" s="93"/>
      <c r="CM287" s="230"/>
      <c r="CN287" s="148" t="s">
        <v>151</v>
      </c>
    </row>
    <row r="288" spans="1:92" ht="57.75" hidden="1" customHeight="1" x14ac:dyDescent="0.2">
      <c r="A288" s="196">
        <f t="shared" si="126"/>
        <v>146</v>
      </c>
      <c r="B288" s="99">
        <f t="shared" si="115"/>
        <v>276</v>
      </c>
      <c r="C288" s="231" t="s">
        <v>500</v>
      </c>
      <c r="D288" s="232" t="s">
        <v>501</v>
      </c>
      <c r="E288" s="231" t="s">
        <v>151</v>
      </c>
      <c r="F288" s="231"/>
      <c r="G288" s="233">
        <v>43647</v>
      </c>
      <c r="H288" s="233"/>
      <c r="I288" s="234"/>
      <c r="J288" s="235">
        <v>7.7499999999999999E-2</v>
      </c>
      <c r="K288" s="76">
        <v>7.4999999999999997E-2</v>
      </c>
      <c r="L288" s="236">
        <v>0.9</v>
      </c>
      <c r="M288" s="237">
        <v>5</v>
      </c>
      <c r="N288" s="237"/>
      <c r="O288" s="236">
        <v>12</v>
      </c>
      <c r="P288" s="237">
        <f t="shared" si="110"/>
        <v>0</v>
      </c>
      <c r="Q288" s="237">
        <f t="shared" si="111"/>
        <v>0</v>
      </c>
      <c r="R288" s="237">
        <f t="shared" si="112"/>
        <v>0</v>
      </c>
      <c r="S288" s="237">
        <f t="shared" si="113"/>
        <v>0</v>
      </c>
      <c r="T288" s="238">
        <v>0.606656065898319</v>
      </c>
      <c r="U288" s="237"/>
      <c r="V288" s="236"/>
      <c r="W288" s="237">
        <f t="shared" si="108"/>
        <v>0</v>
      </c>
      <c r="X288" s="237">
        <f t="shared" si="108"/>
        <v>0</v>
      </c>
      <c r="Y288" s="239">
        <f t="shared" si="109"/>
        <v>0</v>
      </c>
      <c r="Z288" s="239">
        <f t="shared" si="109"/>
        <v>0</v>
      </c>
      <c r="AA288" s="239"/>
      <c r="AB288" s="239"/>
      <c r="AC288" s="239">
        <f t="shared" si="120"/>
        <v>0</v>
      </c>
      <c r="AD288" s="241">
        <v>0</v>
      </c>
      <c r="AE288" s="241">
        <f t="shared" si="92"/>
        <v>0</v>
      </c>
      <c r="AF288" s="241"/>
      <c r="AG288" s="83"/>
      <c r="AH288" s="242"/>
      <c r="AI288" s="83"/>
      <c r="AJ288" s="83"/>
      <c r="AK288" s="84"/>
      <c r="AL288" s="82">
        <f t="shared" si="106"/>
        <v>0</v>
      </c>
      <c r="AM288" s="82"/>
      <c r="AN288" s="82"/>
      <c r="AO288" s="82"/>
      <c r="AP288" s="82">
        <f t="shared" si="103"/>
        <v>0</v>
      </c>
      <c r="AQ288" s="82"/>
      <c r="AR288" s="82">
        <f t="shared" si="117"/>
        <v>0</v>
      </c>
      <c r="AS288" s="82"/>
      <c r="AT288" s="82">
        <v>0</v>
      </c>
      <c r="AU288" s="85">
        <f t="shared" si="124"/>
        <v>0</v>
      </c>
      <c r="AV288" s="85"/>
      <c r="AW288" s="86"/>
      <c r="AX288" s="86"/>
      <c r="AY288" s="85"/>
      <c r="AZ288" s="85"/>
      <c r="BA288" s="85">
        <f t="shared" si="116"/>
        <v>0</v>
      </c>
      <c r="BB288" s="85"/>
      <c r="BC288" s="85"/>
      <c r="BD288" s="85"/>
      <c r="BE288" s="85"/>
      <c r="BF288" s="85"/>
      <c r="BG288" s="85"/>
      <c r="BH288" s="85">
        <f t="shared" si="114"/>
        <v>0</v>
      </c>
      <c r="BI288" s="85"/>
      <c r="BJ288" s="243">
        <f t="shared" si="96"/>
        <v>0</v>
      </c>
      <c r="BK288" s="243"/>
      <c r="BL288" s="243"/>
      <c r="BM288" s="244"/>
      <c r="BN288" s="89"/>
      <c r="BO288" s="89"/>
      <c r="BP288" s="90"/>
      <c r="BQ288" s="91">
        <f t="shared" si="107"/>
        <v>0</v>
      </c>
      <c r="BR288" s="91">
        <f t="shared" si="104"/>
        <v>0</v>
      </c>
      <c r="BS288" s="245"/>
      <c r="BT288" s="245"/>
      <c r="BU288" s="245"/>
      <c r="BV288" s="92">
        <f t="shared" si="105"/>
        <v>0</v>
      </c>
      <c r="BW288" s="92"/>
      <c r="BX288" s="93">
        <f t="shared" si="119"/>
        <v>0</v>
      </c>
      <c r="BY288" s="93"/>
      <c r="BZ288" s="93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5"/>
      <c r="CL288" s="93"/>
      <c r="CM288" s="230"/>
      <c r="CN288" s="148" t="s">
        <v>151</v>
      </c>
    </row>
    <row r="289" spans="1:92" ht="57.75" hidden="1" customHeight="1" x14ac:dyDescent="0.2">
      <c r="A289" s="196">
        <f t="shared" si="126"/>
        <v>147</v>
      </c>
      <c r="B289" s="99">
        <f t="shared" si="115"/>
        <v>277</v>
      </c>
      <c r="C289" s="231" t="s">
        <v>500</v>
      </c>
      <c r="D289" s="232" t="s">
        <v>501</v>
      </c>
      <c r="E289" s="231" t="s">
        <v>151</v>
      </c>
      <c r="F289" s="231"/>
      <c r="G289" s="233">
        <v>43678</v>
      </c>
      <c r="H289" s="233"/>
      <c r="I289" s="234"/>
      <c r="J289" s="235">
        <v>7.7499999999999999E-2</v>
      </c>
      <c r="K289" s="76">
        <v>7.4999999999999997E-2</v>
      </c>
      <c r="L289" s="236">
        <v>0.9</v>
      </c>
      <c r="M289" s="237">
        <v>4</v>
      </c>
      <c r="N289" s="237"/>
      <c r="O289" s="236">
        <v>12</v>
      </c>
      <c r="P289" s="237">
        <f t="shared" si="110"/>
        <v>0</v>
      </c>
      <c r="Q289" s="237">
        <f t="shared" si="111"/>
        <v>0</v>
      </c>
      <c r="R289" s="237">
        <f t="shared" si="112"/>
        <v>0</v>
      </c>
      <c r="S289" s="237">
        <f t="shared" si="113"/>
        <v>0</v>
      </c>
      <c r="T289" s="238">
        <v>0.606656065898319</v>
      </c>
      <c r="U289" s="237"/>
      <c r="V289" s="236"/>
      <c r="W289" s="237">
        <f t="shared" si="108"/>
        <v>0</v>
      </c>
      <c r="X289" s="237">
        <f t="shared" si="108"/>
        <v>0</v>
      </c>
      <c r="Y289" s="239">
        <f t="shared" si="109"/>
        <v>0</v>
      </c>
      <c r="Z289" s="239">
        <f t="shared" si="109"/>
        <v>0</v>
      </c>
      <c r="AA289" s="239"/>
      <c r="AB289" s="239"/>
      <c r="AC289" s="239">
        <f t="shared" si="120"/>
        <v>0</v>
      </c>
      <c r="AD289" s="241">
        <v>0</v>
      </c>
      <c r="AE289" s="241">
        <f t="shared" si="92"/>
        <v>0</v>
      </c>
      <c r="AF289" s="241"/>
      <c r="AG289" s="83"/>
      <c r="AH289" s="242"/>
      <c r="AI289" s="83"/>
      <c r="AJ289" s="83"/>
      <c r="AK289" s="84"/>
      <c r="AL289" s="82">
        <f t="shared" si="106"/>
        <v>0</v>
      </c>
      <c r="AM289" s="82"/>
      <c r="AN289" s="82"/>
      <c r="AO289" s="82"/>
      <c r="AP289" s="82">
        <f t="shared" si="103"/>
        <v>0</v>
      </c>
      <c r="AQ289" s="82"/>
      <c r="AR289" s="82">
        <f t="shared" si="117"/>
        <v>0</v>
      </c>
      <c r="AS289" s="82"/>
      <c r="AT289" s="82">
        <v>0</v>
      </c>
      <c r="AU289" s="85">
        <f t="shared" si="124"/>
        <v>0</v>
      </c>
      <c r="AV289" s="85"/>
      <c r="AW289" s="86"/>
      <c r="AX289" s="86"/>
      <c r="AY289" s="85"/>
      <c r="AZ289" s="85"/>
      <c r="BA289" s="85">
        <f t="shared" si="116"/>
        <v>0</v>
      </c>
      <c r="BB289" s="85"/>
      <c r="BC289" s="85"/>
      <c r="BD289" s="85"/>
      <c r="BE289" s="85"/>
      <c r="BF289" s="85"/>
      <c r="BG289" s="85"/>
      <c r="BH289" s="85">
        <f t="shared" si="114"/>
        <v>0</v>
      </c>
      <c r="BI289" s="85"/>
      <c r="BJ289" s="243">
        <f t="shared" si="96"/>
        <v>0</v>
      </c>
      <c r="BK289" s="243"/>
      <c r="BL289" s="243"/>
      <c r="BM289" s="244"/>
      <c r="BN289" s="89"/>
      <c r="BO289" s="89"/>
      <c r="BP289" s="90"/>
      <c r="BQ289" s="91">
        <f t="shared" si="107"/>
        <v>0</v>
      </c>
      <c r="BR289" s="91">
        <f t="shared" si="104"/>
        <v>0</v>
      </c>
      <c r="BS289" s="245"/>
      <c r="BT289" s="245"/>
      <c r="BU289" s="245"/>
      <c r="BV289" s="92">
        <f t="shared" si="105"/>
        <v>0</v>
      </c>
      <c r="BW289" s="92"/>
      <c r="BX289" s="93">
        <f t="shared" si="119"/>
        <v>0</v>
      </c>
      <c r="BY289" s="93"/>
      <c r="BZ289" s="93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5"/>
      <c r="CL289" s="93"/>
      <c r="CM289" s="230"/>
      <c r="CN289" s="148" t="s">
        <v>151</v>
      </c>
    </row>
    <row r="290" spans="1:92" ht="57.75" hidden="1" customHeight="1" x14ac:dyDescent="0.2">
      <c r="A290" s="196">
        <f t="shared" si="126"/>
        <v>148</v>
      </c>
      <c r="B290" s="99">
        <f t="shared" si="115"/>
        <v>278</v>
      </c>
      <c r="C290" s="231" t="s">
        <v>500</v>
      </c>
      <c r="D290" s="232" t="s">
        <v>501</v>
      </c>
      <c r="E290" s="231" t="s">
        <v>151</v>
      </c>
      <c r="F290" s="231"/>
      <c r="G290" s="233">
        <v>43709</v>
      </c>
      <c r="H290" s="233"/>
      <c r="I290" s="234"/>
      <c r="J290" s="235">
        <v>7.7499999999999999E-2</v>
      </c>
      <c r="K290" s="76">
        <v>7.4999999999999997E-2</v>
      </c>
      <c r="L290" s="236">
        <v>0.9</v>
      </c>
      <c r="M290" s="237">
        <v>3</v>
      </c>
      <c r="N290" s="237"/>
      <c r="O290" s="236">
        <v>12</v>
      </c>
      <c r="P290" s="237">
        <f t="shared" si="110"/>
        <v>0</v>
      </c>
      <c r="Q290" s="237">
        <f t="shared" si="111"/>
        <v>0</v>
      </c>
      <c r="R290" s="237">
        <f t="shared" si="112"/>
        <v>0</v>
      </c>
      <c r="S290" s="237">
        <f t="shared" si="113"/>
        <v>0</v>
      </c>
      <c r="T290" s="238">
        <v>0.606656065898319</v>
      </c>
      <c r="U290" s="237"/>
      <c r="V290" s="236"/>
      <c r="W290" s="237">
        <f t="shared" si="108"/>
        <v>0</v>
      </c>
      <c r="X290" s="237">
        <f t="shared" si="108"/>
        <v>0</v>
      </c>
      <c r="Y290" s="239">
        <f t="shared" si="109"/>
        <v>0</v>
      </c>
      <c r="Z290" s="239">
        <f t="shared" si="109"/>
        <v>0</v>
      </c>
      <c r="AA290" s="239"/>
      <c r="AB290" s="239"/>
      <c r="AC290" s="239">
        <f t="shared" si="120"/>
        <v>0</v>
      </c>
      <c r="AD290" s="241">
        <v>0</v>
      </c>
      <c r="AE290" s="241">
        <f t="shared" si="92"/>
        <v>0</v>
      </c>
      <c r="AF290" s="241"/>
      <c r="AG290" s="83"/>
      <c r="AH290" s="242"/>
      <c r="AI290" s="83"/>
      <c r="AJ290" s="83"/>
      <c r="AK290" s="84"/>
      <c r="AL290" s="82">
        <f t="shared" si="106"/>
        <v>0</v>
      </c>
      <c r="AM290" s="82"/>
      <c r="AN290" s="82"/>
      <c r="AO290" s="82"/>
      <c r="AP290" s="82">
        <f t="shared" si="103"/>
        <v>0</v>
      </c>
      <c r="AQ290" s="82"/>
      <c r="AR290" s="82">
        <f t="shared" si="117"/>
        <v>0</v>
      </c>
      <c r="AS290" s="82"/>
      <c r="AT290" s="82">
        <v>0</v>
      </c>
      <c r="AU290" s="85">
        <f t="shared" si="124"/>
        <v>0</v>
      </c>
      <c r="AV290" s="85"/>
      <c r="AW290" s="86"/>
      <c r="AX290" s="86"/>
      <c r="AY290" s="85"/>
      <c r="AZ290" s="85"/>
      <c r="BA290" s="85">
        <f t="shared" si="116"/>
        <v>0</v>
      </c>
      <c r="BB290" s="85"/>
      <c r="BC290" s="85"/>
      <c r="BD290" s="85"/>
      <c r="BE290" s="85"/>
      <c r="BF290" s="85"/>
      <c r="BG290" s="85"/>
      <c r="BH290" s="85">
        <f t="shared" si="114"/>
        <v>0</v>
      </c>
      <c r="BI290" s="85"/>
      <c r="BJ290" s="243">
        <f t="shared" si="96"/>
        <v>0</v>
      </c>
      <c r="BK290" s="243"/>
      <c r="BL290" s="243"/>
      <c r="BM290" s="244"/>
      <c r="BN290" s="89"/>
      <c r="BO290" s="89"/>
      <c r="BP290" s="90"/>
      <c r="BQ290" s="91">
        <f t="shared" si="107"/>
        <v>0</v>
      </c>
      <c r="BR290" s="91">
        <f t="shared" si="104"/>
        <v>0</v>
      </c>
      <c r="BS290" s="245"/>
      <c r="BT290" s="245"/>
      <c r="BU290" s="245"/>
      <c r="BV290" s="92">
        <f t="shared" si="105"/>
        <v>0</v>
      </c>
      <c r="BW290" s="92"/>
      <c r="BX290" s="93">
        <f t="shared" si="119"/>
        <v>0</v>
      </c>
      <c r="BY290" s="93"/>
      <c r="BZ290" s="93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5"/>
      <c r="CL290" s="93"/>
      <c r="CM290" s="230"/>
      <c r="CN290" s="148" t="s">
        <v>151</v>
      </c>
    </row>
    <row r="291" spans="1:92" ht="57.75" hidden="1" customHeight="1" x14ac:dyDescent="0.2">
      <c r="A291" s="196">
        <f t="shared" si="126"/>
        <v>149</v>
      </c>
      <c r="B291" s="99">
        <f t="shared" si="115"/>
        <v>279</v>
      </c>
      <c r="C291" s="231" t="s">
        <v>500</v>
      </c>
      <c r="D291" s="232" t="s">
        <v>501</v>
      </c>
      <c r="E291" s="231" t="s">
        <v>151</v>
      </c>
      <c r="F291" s="231"/>
      <c r="G291" s="233">
        <v>43739</v>
      </c>
      <c r="H291" s="233"/>
      <c r="I291" s="234"/>
      <c r="J291" s="235">
        <v>7.7499999999999999E-2</v>
      </c>
      <c r="K291" s="76">
        <v>7.4999999999999997E-2</v>
      </c>
      <c r="L291" s="236">
        <v>0.9</v>
      </c>
      <c r="M291" s="237">
        <v>2</v>
      </c>
      <c r="N291" s="237"/>
      <c r="O291" s="236">
        <v>12</v>
      </c>
      <c r="P291" s="237">
        <f t="shared" si="110"/>
        <v>0</v>
      </c>
      <c r="Q291" s="237">
        <f t="shared" si="111"/>
        <v>0</v>
      </c>
      <c r="R291" s="237">
        <f t="shared" si="112"/>
        <v>0</v>
      </c>
      <c r="S291" s="237">
        <f t="shared" si="113"/>
        <v>0</v>
      </c>
      <c r="T291" s="238">
        <v>0.606656065898319</v>
      </c>
      <c r="U291" s="237"/>
      <c r="V291" s="236"/>
      <c r="W291" s="237">
        <f t="shared" si="108"/>
        <v>0</v>
      </c>
      <c r="X291" s="237">
        <f t="shared" si="108"/>
        <v>0</v>
      </c>
      <c r="Y291" s="239">
        <f t="shared" si="109"/>
        <v>0</v>
      </c>
      <c r="Z291" s="239">
        <f t="shared" si="109"/>
        <v>0</v>
      </c>
      <c r="AA291" s="239"/>
      <c r="AB291" s="239"/>
      <c r="AC291" s="239">
        <f t="shared" si="120"/>
        <v>0</v>
      </c>
      <c r="AD291" s="241">
        <v>0</v>
      </c>
      <c r="AE291" s="241">
        <f t="shared" si="92"/>
        <v>0</v>
      </c>
      <c r="AF291" s="241"/>
      <c r="AG291" s="83"/>
      <c r="AH291" s="242"/>
      <c r="AI291" s="83"/>
      <c r="AJ291" s="83"/>
      <c r="AK291" s="84"/>
      <c r="AL291" s="82">
        <f t="shared" si="106"/>
        <v>0</v>
      </c>
      <c r="AM291" s="82"/>
      <c r="AN291" s="82"/>
      <c r="AO291" s="82"/>
      <c r="AP291" s="82">
        <f t="shared" si="103"/>
        <v>0</v>
      </c>
      <c r="AQ291" s="82"/>
      <c r="AR291" s="82">
        <f t="shared" si="117"/>
        <v>0</v>
      </c>
      <c r="AS291" s="82"/>
      <c r="AT291" s="82">
        <v>0</v>
      </c>
      <c r="AU291" s="85">
        <f t="shared" si="124"/>
        <v>0</v>
      </c>
      <c r="AV291" s="85"/>
      <c r="AW291" s="86"/>
      <c r="AX291" s="86"/>
      <c r="AY291" s="85"/>
      <c r="AZ291" s="85"/>
      <c r="BA291" s="85">
        <f t="shared" si="116"/>
        <v>0</v>
      </c>
      <c r="BB291" s="85"/>
      <c r="BC291" s="85"/>
      <c r="BD291" s="85"/>
      <c r="BE291" s="85"/>
      <c r="BF291" s="85"/>
      <c r="BG291" s="85"/>
      <c r="BH291" s="85">
        <f t="shared" si="114"/>
        <v>0</v>
      </c>
      <c r="BI291" s="85"/>
      <c r="BJ291" s="243">
        <f t="shared" si="96"/>
        <v>0</v>
      </c>
      <c r="BK291" s="243"/>
      <c r="BL291" s="243"/>
      <c r="BM291" s="244"/>
      <c r="BN291" s="89"/>
      <c r="BO291" s="89"/>
      <c r="BP291" s="90"/>
      <c r="BQ291" s="91">
        <f t="shared" si="107"/>
        <v>0</v>
      </c>
      <c r="BR291" s="91">
        <f t="shared" si="104"/>
        <v>0</v>
      </c>
      <c r="BS291" s="245"/>
      <c r="BT291" s="245"/>
      <c r="BU291" s="245"/>
      <c r="BV291" s="92">
        <f t="shared" si="105"/>
        <v>0</v>
      </c>
      <c r="BW291" s="92"/>
      <c r="BX291" s="93">
        <f t="shared" si="119"/>
        <v>0</v>
      </c>
      <c r="BY291" s="93"/>
      <c r="BZ291" s="93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5"/>
      <c r="CL291" s="93"/>
      <c r="CM291" s="230"/>
      <c r="CN291" s="148" t="s">
        <v>151</v>
      </c>
    </row>
    <row r="292" spans="1:92" ht="57.75" hidden="1" customHeight="1" x14ac:dyDescent="0.2">
      <c r="A292" s="196">
        <f t="shared" si="126"/>
        <v>150</v>
      </c>
      <c r="B292" s="99">
        <f t="shared" si="115"/>
        <v>280</v>
      </c>
      <c r="C292" s="231" t="s">
        <v>500</v>
      </c>
      <c r="D292" s="232" t="s">
        <v>501</v>
      </c>
      <c r="E292" s="231" t="s">
        <v>151</v>
      </c>
      <c r="F292" s="231"/>
      <c r="G292" s="233">
        <v>43770</v>
      </c>
      <c r="H292" s="233"/>
      <c r="I292" s="234"/>
      <c r="J292" s="235">
        <v>7.7499999999999999E-2</v>
      </c>
      <c r="K292" s="76">
        <v>7.4999999999999997E-2</v>
      </c>
      <c r="L292" s="236">
        <v>0.9</v>
      </c>
      <c r="M292" s="237">
        <v>1</v>
      </c>
      <c r="N292" s="237"/>
      <c r="O292" s="236">
        <v>12</v>
      </c>
      <c r="P292" s="237">
        <f t="shared" si="110"/>
        <v>0</v>
      </c>
      <c r="Q292" s="237">
        <f t="shared" si="111"/>
        <v>0</v>
      </c>
      <c r="R292" s="237">
        <f t="shared" si="112"/>
        <v>0</v>
      </c>
      <c r="S292" s="237">
        <f t="shared" si="113"/>
        <v>0</v>
      </c>
      <c r="T292" s="238">
        <v>0.606656065898319</v>
      </c>
      <c r="U292" s="237"/>
      <c r="V292" s="236"/>
      <c r="W292" s="237">
        <f t="shared" si="108"/>
        <v>0</v>
      </c>
      <c r="X292" s="237">
        <f t="shared" si="108"/>
        <v>0</v>
      </c>
      <c r="Y292" s="239">
        <f t="shared" si="109"/>
        <v>0</v>
      </c>
      <c r="Z292" s="239">
        <f t="shared" si="109"/>
        <v>0</v>
      </c>
      <c r="AA292" s="239"/>
      <c r="AB292" s="239"/>
      <c r="AC292" s="239">
        <f t="shared" si="120"/>
        <v>0</v>
      </c>
      <c r="AD292" s="241">
        <v>0</v>
      </c>
      <c r="AE292" s="241">
        <f t="shared" si="92"/>
        <v>0</v>
      </c>
      <c r="AF292" s="241"/>
      <c r="AG292" s="83"/>
      <c r="AH292" s="242"/>
      <c r="AI292" s="83"/>
      <c r="AJ292" s="83"/>
      <c r="AK292" s="84"/>
      <c r="AL292" s="82">
        <f t="shared" si="106"/>
        <v>0</v>
      </c>
      <c r="AM292" s="82"/>
      <c r="AN292" s="82"/>
      <c r="AO292" s="82"/>
      <c r="AP292" s="82">
        <f t="shared" si="103"/>
        <v>0</v>
      </c>
      <c r="AQ292" s="82"/>
      <c r="AR292" s="82">
        <f t="shared" si="117"/>
        <v>0</v>
      </c>
      <c r="AS292" s="82"/>
      <c r="AT292" s="82">
        <v>0</v>
      </c>
      <c r="AU292" s="85">
        <f t="shared" si="124"/>
        <v>0</v>
      </c>
      <c r="AV292" s="85"/>
      <c r="AW292" s="86"/>
      <c r="AX292" s="86"/>
      <c r="AY292" s="85"/>
      <c r="AZ292" s="85"/>
      <c r="BA292" s="85">
        <f t="shared" si="116"/>
        <v>0</v>
      </c>
      <c r="BB292" s="85"/>
      <c r="BC292" s="85"/>
      <c r="BD292" s="85"/>
      <c r="BE292" s="85"/>
      <c r="BF292" s="85"/>
      <c r="BG292" s="85"/>
      <c r="BH292" s="85">
        <f t="shared" si="114"/>
        <v>0</v>
      </c>
      <c r="BI292" s="85"/>
      <c r="BJ292" s="243">
        <f t="shared" si="96"/>
        <v>0</v>
      </c>
      <c r="BK292" s="243"/>
      <c r="BL292" s="243"/>
      <c r="BM292" s="244"/>
      <c r="BN292" s="89"/>
      <c r="BO292" s="89"/>
      <c r="BP292" s="90"/>
      <c r="BQ292" s="91">
        <f t="shared" si="107"/>
        <v>0</v>
      </c>
      <c r="BR292" s="91">
        <f t="shared" si="104"/>
        <v>0</v>
      </c>
      <c r="BS292" s="245"/>
      <c r="BT292" s="245"/>
      <c r="BU292" s="245"/>
      <c r="BV292" s="92">
        <f t="shared" si="105"/>
        <v>0</v>
      </c>
      <c r="BW292" s="92"/>
      <c r="BX292" s="93">
        <f t="shared" si="119"/>
        <v>0</v>
      </c>
      <c r="BY292" s="93"/>
      <c r="BZ292" s="93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5"/>
      <c r="CL292" s="93"/>
      <c r="CM292" s="230"/>
      <c r="CN292" s="148" t="s">
        <v>151</v>
      </c>
    </row>
    <row r="293" spans="1:92" ht="57.75" hidden="1" customHeight="1" x14ac:dyDescent="0.2">
      <c r="A293" s="196">
        <f t="shared" si="126"/>
        <v>151</v>
      </c>
      <c r="B293" s="99">
        <f t="shared" si="115"/>
        <v>281</v>
      </c>
      <c r="C293" s="231" t="s">
        <v>500</v>
      </c>
      <c r="D293" s="232" t="s">
        <v>501</v>
      </c>
      <c r="E293" s="231" t="s">
        <v>151</v>
      </c>
      <c r="F293" s="231"/>
      <c r="G293" s="233">
        <v>43800</v>
      </c>
      <c r="H293" s="233"/>
      <c r="I293" s="234"/>
      <c r="J293" s="235">
        <v>7.7499999999999999E-2</v>
      </c>
      <c r="K293" s="76">
        <v>7.4999999999999997E-2</v>
      </c>
      <c r="L293" s="236">
        <v>0.9</v>
      </c>
      <c r="M293" s="237">
        <v>0</v>
      </c>
      <c r="N293" s="237"/>
      <c r="O293" s="236">
        <v>12</v>
      </c>
      <c r="P293" s="237">
        <f t="shared" si="110"/>
        <v>0</v>
      </c>
      <c r="Q293" s="237">
        <f t="shared" si="111"/>
        <v>0</v>
      </c>
      <c r="R293" s="237">
        <f t="shared" si="112"/>
        <v>0</v>
      </c>
      <c r="S293" s="237">
        <f t="shared" si="113"/>
        <v>0</v>
      </c>
      <c r="T293" s="238">
        <v>0.606656065898319</v>
      </c>
      <c r="U293" s="237"/>
      <c r="V293" s="236"/>
      <c r="W293" s="237">
        <f t="shared" si="108"/>
        <v>0</v>
      </c>
      <c r="X293" s="237">
        <f t="shared" si="108"/>
        <v>0</v>
      </c>
      <c r="Y293" s="239">
        <f t="shared" si="109"/>
        <v>0</v>
      </c>
      <c r="Z293" s="239">
        <f t="shared" si="109"/>
        <v>0</v>
      </c>
      <c r="AA293" s="239"/>
      <c r="AB293" s="239"/>
      <c r="AC293" s="239">
        <f t="shared" si="120"/>
        <v>0</v>
      </c>
      <c r="AD293" s="241">
        <v>0</v>
      </c>
      <c r="AE293" s="241">
        <f t="shared" si="92"/>
        <v>0</v>
      </c>
      <c r="AF293" s="241"/>
      <c r="AG293" s="83"/>
      <c r="AH293" s="242"/>
      <c r="AI293" s="83"/>
      <c r="AJ293" s="83"/>
      <c r="AK293" s="84"/>
      <c r="AL293" s="82">
        <f t="shared" si="106"/>
        <v>0</v>
      </c>
      <c r="AM293" s="82"/>
      <c r="AN293" s="82"/>
      <c r="AO293" s="82"/>
      <c r="AP293" s="82">
        <f t="shared" si="103"/>
        <v>0</v>
      </c>
      <c r="AQ293" s="82"/>
      <c r="AR293" s="82">
        <f t="shared" si="117"/>
        <v>0</v>
      </c>
      <c r="AS293" s="82"/>
      <c r="AT293" s="82">
        <v>0</v>
      </c>
      <c r="AU293" s="85">
        <f t="shared" si="124"/>
        <v>0</v>
      </c>
      <c r="AV293" s="85"/>
      <c r="AW293" s="86"/>
      <c r="AX293" s="86"/>
      <c r="AY293" s="85"/>
      <c r="AZ293" s="85"/>
      <c r="BA293" s="85">
        <f t="shared" si="116"/>
        <v>0</v>
      </c>
      <c r="BB293" s="85"/>
      <c r="BC293" s="85"/>
      <c r="BD293" s="85"/>
      <c r="BE293" s="85"/>
      <c r="BF293" s="85"/>
      <c r="BG293" s="85"/>
      <c r="BH293" s="85">
        <f t="shared" si="114"/>
        <v>0</v>
      </c>
      <c r="BI293" s="85"/>
      <c r="BJ293" s="243">
        <f t="shared" si="96"/>
        <v>0</v>
      </c>
      <c r="BK293" s="243"/>
      <c r="BL293" s="243"/>
      <c r="BM293" s="244"/>
      <c r="BN293" s="89"/>
      <c r="BO293" s="89"/>
      <c r="BP293" s="90"/>
      <c r="BQ293" s="91">
        <f t="shared" si="107"/>
        <v>0</v>
      </c>
      <c r="BR293" s="91">
        <f t="shared" si="104"/>
        <v>0</v>
      </c>
      <c r="BS293" s="245"/>
      <c r="BT293" s="245"/>
      <c r="BU293" s="245"/>
      <c r="BV293" s="92">
        <f t="shared" si="105"/>
        <v>0</v>
      </c>
      <c r="BW293" s="92"/>
      <c r="BX293" s="93">
        <f t="shared" si="119"/>
        <v>0</v>
      </c>
      <c r="BY293" s="93"/>
      <c r="BZ293" s="93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5"/>
      <c r="CL293" s="93"/>
      <c r="CM293" s="230"/>
      <c r="CN293" s="148" t="s">
        <v>151</v>
      </c>
    </row>
    <row r="294" spans="1:92" s="196" customFormat="1" ht="39.75" customHeight="1" x14ac:dyDescent="0.2">
      <c r="A294" s="196">
        <f t="shared" si="126"/>
        <v>152</v>
      </c>
      <c r="B294" s="99">
        <v>271</v>
      </c>
      <c r="C294" s="122" t="s">
        <v>502</v>
      </c>
      <c r="D294" s="123" t="s">
        <v>503</v>
      </c>
      <c r="E294" s="122" t="s">
        <v>161</v>
      </c>
      <c r="F294" s="100" t="s">
        <v>134</v>
      </c>
      <c r="G294" s="124">
        <v>43497</v>
      </c>
      <c r="H294" s="124">
        <v>43497</v>
      </c>
      <c r="I294" s="125">
        <v>60000000</v>
      </c>
      <c r="J294" s="126">
        <v>7.7499999999999999E-2</v>
      </c>
      <c r="K294" s="105">
        <v>7.4999999999999997E-2</v>
      </c>
      <c r="L294" s="127">
        <v>0.9</v>
      </c>
      <c r="M294" s="128">
        <v>10</v>
      </c>
      <c r="N294" s="128"/>
      <c r="O294" s="127">
        <v>12</v>
      </c>
      <c r="P294" s="128">
        <f t="shared" si="110"/>
        <v>3487500</v>
      </c>
      <c r="Q294" s="176">
        <f t="shared" si="111"/>
        <v>36399363.953899138</v>
      </c>
      <c r="R294" s="128">
        <f t="shared" si="112"/>
        <v>2115713.0298203877</v>
      </c>
      <c r="S294" s="128">
        <f t="shared" si="113"/>
        <v>1371786.9701796123</v>
      </c>
      <c r="T294" s="129">
        <v>0.606656065898319</v>
      </c>
      <c r="U294" s="128"/>
      <c r="V294" s="127"/>
      <c r="W294" s="128">
        <f t="shared" si="108"/>
        <v>36399363.953899138</v>
      </c>
      <c r="X294" s="128">
        <f t="shared" si="108"/>
        <v>2115713.0298203877</v>
      </c>
      <c r="Y294" s="130">
        <f t="shared" si="109"/>
        <v>36399363.953899138</v>
      </c>
      <c r="Z294" s="130">
        <f>SUM(X294)-532354.75</f>
        <v>1583358.2798203877</v>
      </c>
      <c r="AA294" s="130">
        <f>3487499.99-AA295-AA296</f>
        <v>1583358.28</v>
      </c>
      <c r="AB294" s="130"/>
      <c r="AC294" s="130">
        <f t="shared" si="120"/>
        <v>-1.7961231060326099E-4</v>
      </c>
      <c r="AD294" s="131">
        <v>0.11455891281366348</v>
      </c>
      <c r="AE294" s="131">
        <f t="shared" si="92"/>
        <v>-3.433449187159111E-3</v>
      </c>
      <c r="AF294" s="131"/>
      <c r="AG294" s="132"/>
      <c r="AH294" s="132"/>
      <c r="AI294" s="132"/>
      <c r="AJ294" s="132"/>
      <c r="AK294" s="132"/>
      <c r="AL294" s="111">
        <f t="shared" si="106"/>
        <v>-1.7961231060326099E-4</v>
      </c>
      <c r="AM294" s="111"/>
      <c r="AN294" s="111"/>
      <c r="AO294" s="111"/>
      <c r="AP294" s="111">
        <f t="shared" si="103"/>
        <v>-1.7961231060326099E-4</v>
      </c>
      <c r="AQ294" s="111"/>
      <c r="AR294" s="111">
        <f t="shared" si="117"/>
        <v>-1.7961231060326099E-4</v>
      </c>
      <c r="AS294" s="111"/>
      <c r="AT294" s="111">
        <v>0</v>
      </c>
      <c r="AU294" s="111">
        <f t="shared" si="124"/>
        <v>-1.7961231060326099E-4</v>
      </c>
      <c r="AV294" s="111"/>
      <c r="AW294" s="111"/>
      <c r="AX294" s="111"/>
      <c r="AY294" s="111"/>
      <c r="AZ294" s="111"/>
      <c r="BA294" s="111">
        <f t="shared" si="116"/>
        <v>0</v>
      </c>
      <c r="BB294" s="111"/>
      <c r="BC294" s="111"/>
      <c r="BD294" s="111"/>
      <c r="BE294" s="111"/>
      <c r="BF294" s="111"/>
      <c r="BG294" s="111"/>
      <c r="BH294" s="111">
        <f t="shared" si="114"/>
        <v>0</v>
      </c>
      <c r="BI294" s="111"/>
      <c r="BJ294" s="112">
        <f t="shared" si="96"/>
        <v>-3.8626303355540001E-3</v>
      </c>
      <c r="BK294" s="134"/>
      <c r="BL294" s="134"/>
      <c r="BM294" s="135"/>
      <c r="BN294" s="135"/>
      <c r="BO294" s="135"/>
      <c r="BP294" s="135"/>
      <c r="BQ294" s="114">
        <f t="shared" si="107"/>
        <v>-3.8626303355540001E-3</v>
      </c>
      <c r="BR294" s="114">
        <f t="shared" si="104"/>
        <v>-4.4144346692045712E-3</v>
      </c>
      <c r="BS294" s="136"/>
      <c r="BT294" s="136"/>
      <c r="BU294" s="136"/>
      <c r="BV294" s="115">
        <f t="shared" si="105"/>
        <v>-5.1501737807386665E-3</v>
      </c>
      <c r="BW294" s="115"/>
      <c r="BX294" s="116">
        <f t="shared" si="119"/>
        <v>-7.9827693601449336E-3</v>
      </c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>
        <v>0</v>
      </c>
      <c r="CL294" s="116"/>
      <c r="CM294" s="199"/>
    </row>
    <row r="295" spans="1:92" s="120" customFormat="1" ht="44.25" customHeight="1" x14ac:dyDescent="0.2">
      <c r="B295" s="99">
        <f t="shared" si="115"/>
        <v>272</v>
      </c>
      <c r="C295" s="122" t="s">
        <v>502</v>
      </c>
      <c r="D295" s="123" t="s">
        <v>503</v>
      </c>
      <c r="E295" s="122" t="s">
        <v>161</v>
      </c>
      <c r="F295" s="100" t="s">
        <v>134</v>
      </c>
      <c r="G295" s="124">
        <v>43586</v>
      </c>
      <c r="H295" s="124" t="s">
        <v>97</v>
      </c>
      <c r="I295" s="125">
        <v>60000000</v>
      </c>
      <c r="J295" s="126">
        <v>7.7499999999999999E-2</v>
      </c>
      <c r="K295" s="105">
        <v>7.4999999999999997E-2</v>
      </c>
      <c r="L295" s="127">
        <v>0.9</v>
      </c>
      <c r="M295" s="128">
        <v>7</v>
      </c>
      <c r="N295" s="128"/>
      <c r="O295" s="127">
        <v>12</v>
      </c>
      <c r="P295" s="128">
        <f t="shared" si="110"/>
        <v>2441250</v>
      </c>
      <c r="Q295" s="128">
        <f t="shared" si="111"/>
        <v>36399363.953899138</v>
      </c>
      <c r="R295" s="128">
        <f t="shared" si="112"/>
        <v>1480999.120874271</v>
      </c>
      <c r="S295" s="128">
        <f t="shared" si="113"/>
        <v>960250.87912572897</v>
      </c>
      <c r="T295" s="129">
        <v>0.606656065898319</v>
      </c>
      <c r="U295" s="128"/>
      <c r="V295" s="127"/>
      <c r="W295" s="128">
        <f t="shared" si="108"/>
        <v>36399363.953899138</v>
      </c>
      <c r="X295" s="128">
        <f t="shared" si="108"/>
        <v>1480999.120874271</v>
      </c>
      <c r="Y295" s="130">
        <f t="shared" si="109"/>
        <v>36399363.953899138</v>
      </c>
      <c r="Z295" s="130">
        <f t="shared" si="109"/>
        <v>1480999.120874271</v>
      </c>
      <c r="AA295" s="130">
        <v>1480999.12</v>
      </c>
      <c r="AB295" s="130"/>
      <c r="AC295" s="130">
        <f t="shared" si="120"/>
        <v>8.7427091784775257E-4</v>
      </c>
      <c r="AD295" s="131">
        <v>0</v>
      </c>
      <c r="AE295" s="131">
        <f t="shared" si="92"/>
        <v>1.6712466768893718E-2</v>
      </c>
      <c r="AF295" s="131"/>
      <c r="AG295" s="132"/>
      <c r="AH295" s="132"/>
      <c r="AI295" s="132"/>
      <c r="AJ295" s="132"/>
      <c r="AK295" s="132"/>
      <c r="AL295" s="111">
        <f t="shared" si="106"/>
        <v>8.7427091784775257E-4</v>
      </c>
      <c r="AM295" s="111"/>
      <c r="AN295" s="111"/>
      <c r="AO295" s="111"/>
      <c r="AP295" s="111">
        <f t="shared" si="103"/>
        <v>8.7427091784775257E-4</v>
      </c>
      <c r="AQ295" s="111"/>
      <c r="AR295" s="111">
        <f t="shared" si="117"/>
        <v>8.7427091784775257E-4</v>
      </c>
      <c r="AS295" s="111"/>
      <c r="AT295" s="111">
        <v>0</v>
      </c>
      <c r="AU295" s="111">
        <f t="shared" si="124"/>
        <v>8.7427091784775257E-4</v>
      </c>
      <c r="AV295" s="111"/>
      <c r="AW295" s="111"/>
      <c r="AX295" s="111"/>
      <c r="AY295" s="111"/>
      <c r="AZ295" s="111"/>
      <c r="BA295" s="111">
        <f t="shared" si="116"/>
        <v>0</v>
      </c>
      <c r="BB295" s="111"/>
      <c r="BC295" s="111"/>
      <c r="BD295" s="111"/>
      <c r="BE295" s="111"/>
      <c r="BF295" s="111"/>
      <c r="BG295" s="111">
        <v>978750</v>
      </c>
      <c r="BH295" s="111">
        <f t="shared" si="114"/>
        <v>-978750</v>
      </c>
      <c r="BI295" s="111">
        <f>CK295*7.25%*0.9*3/12</f>
        <v>0</v>
      </c>
      <c r="BJ295" s="112">
        <f t="shared" si="96"/>
        <v>1.8801525115005432E-2</v>
      </c>
      <c r="BK295" s="134"/>
      <c r="BL295" s="134"/>
      <c r="BM295" s="135"/>
      <c r="BN295" s="135"/>
      <c r="BO295" s="135"/>
      <c r="BP295" s="135"/>
      <c r="BQ295" s="114">
        <f t="shared" si="107"/>
        <v>1.8801525115005432E-2</v>
      </c>
      <c r="BR295" s="114">
        <f t="shared" si="104"/>
        <v>2.1487457274291924E-2</v>
      </c>
      <c r="BS295" s="136"/>
      <c r="BT295" s="136"/>
      <c r="BU295" s="136"/>
      <c r="BV295" s="115">
        <f t="shared" si="105"/>
        <v>2.5068700153340576E-2</v>
      </c>
      <c r="BW295" s="115"/>
      <c r="BX295" s="116">
        <f t="shared" si="119"/>
        <v>3.8856485237677894E-2</v>
      </c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>
        <v>60000000</v>
      </c>
      <c r="CK295" s="116">
        <f>60000000-60000000</f>
        <v>0</v>
      </c>
      <c r="CL295" s="116"/>
      <c r="CM295" s="119"/>
    </row>
    <row r="296" spans="1:92" s="174" customFormat="1" ht="38.25" x14ac:dyDescent="0.2">
      <c r="B296" s="145">
        <f t="shared" si="115"/>
        <v>273</v>
      </c>
      <c r="C296" s="204" t="s">
        <v>502</v>
      </c>
      <c r="D296" s="224" t="s">
        <v>503</v>
      </c>
      <c r="E296" s="204" t="s">
        <v>161</v>
      </c>
      <c r="F296" s="148" t="s">
        <v>134</v>
      </c>
      <c r="G296" s="205">
        <v>43739</v>
      </c>
      <c r="H296" s="205">
        <v>43739</v>
      </c>
      <c r="I296" s="206">
        <v>60000000</v>
      </c>
      <c r="J296" s="207">
        <v>7.7499999999999999E-2</v>
      </c>
      <c r="K296" s="151">
        <v>7.2499999999999995E-2</v>
      </c>
      <c r="L296" s="220">
        <v>0.9</v>
      </c>
      <c r="M296" s="208">
        <v>2</v>
      </c>
      <c r="N296" s="208">
        <v>2</v>
      </c>
      <c r="O296" s="220">
        <v>12</v>
      </c>
      <c r="P296" s="208">
        <f t="shared" si="110"/>
        <v>697500</v>
      </c>
      <c r="Q296" s="208">
        <f t="shared" si="111"/>
        <v>36399363.953899138</v>
      </c>
      <c r="R296" s="208">
        <f t="shared" si="112"/>
        <v>423142.60596407746</v>
      </c>
      <c r="S296" s="208">
        <f t="shared" si="113"/>
        <v>274357.39403592254</v>
      </c>
      <c r="T296" s="209">
        <v>0.606656065898319</v>
      </c>
      <c r="U296" s="208"/>
      <c r="V296" s="220"/>
      <c r="W296" s="208">
        <f t="shared" si="108"/>
        <v>36399363.953899138</v>
      </c>
      <c r="X296" s="208">
        <f t="shared" si="108"/>
        <v>423142.60596407746</v>
      </c>
      <c r="Y296" s="210">
        <f t="shared" si="109"/>
        <v>36399363.953899138</v>
      </c>
      <c r="Z296" s="210">
        <f t="shared" si="109"/>
        <v>423142.60596407746</v>
      </c>
      <c r="AA296" s="210">
        <v>423142.59</v>
      </c>
      <c r="AB296" s="210"/>
      <c r="AC296" s="210">
        <f t="shared" si="120"/>
        <v>1.5964077436365187E-2</v>
      </c>
      <c r="AD296" s="211">
        <v>0</v>
      </c>
      <c r="AE296" s="211">
        <f t="shared" si="92"/>
        <v>0.30516754956014697</v>
      </c>
      <c r="AF296" s="211"/>
      <c r="AG296" s="198"/>
      <c r="AH296" s="198"/>
      <c r="AI296" s="198"/>
      <c r="AJ296" s="198"/>
      <c r="AK296" s="198"/>
      <c r="AL296" s="83">
        <f t="shared" si="106"/>
        <v>1.5964077436365187E-2</v>
      </c>
      <c r="AM296" s="83"/>
      <c r="AN296" s="83"/>
      <c r="AO296" s="83"/>
      <c r="AP296" s="83">
        <f t="shared" si="103"/>
        <v>1.5964077436365187E-2</v>
      </c>
      <c r="AQ296" s="83"/>
      <c r="AR296" s="83">
        <f t="shared" si="117"/>
        <v>1.5964077436365187E-2</v>
      </c>
      <c r="AS296" s="83"/>
      <c r="AT296" s="83">
        <v>0</v>
      </c>
      <c r="AU296" s="83">
        <f t="shared" si="124"/>
        <v>1.5964077436365187E-2</v>
      </c>
      <c r="AV296" s="83"/>
      <c r="AW296" s="83"/>
      <c r="AX296" s="83"/>
      <c r="AY296" s="83"/>
      <c r="AZ296" s="83"/>
      <c r="BA296" s="83">
        <f t="shared" si="116"/>
        <v>0</v>
      </c>
      <c r="BB296" s="83"/>
      <c r="BC296" s="83"/>
      <c r="BD296" s="83"/>
      <c r="BE296" s="83"/>
      <c r="BF296" s="83"/>
      <c r="BG296" s="83"/>
      <c r="BH296" s="83">
        <f t="shared" si="114"/>
        <v>0</v>
      </c>
      <c r="BI296" s="83">
        <f>CK296*K296*L296*N296/O296</f>
        <v>652500</v>
      </c>
      <c r="BJ296" s="159">
        <f t="shared" si="96"/>
        <v>0.3433134932551653</v>
      </c>
      <c r="BK296" s="213"/>
      <c r="BL296" s="213"/>
      <c r="BM296" s="214"/>
      <c r="BN296" s="214"/>
      <c r="BO296" s="214"/>
      <c r="BP296" s="214"/>
      <c r="BQ296" s="160">
        <f t="shared" si="107"/>
        <v>0.3433134932551653</v>
      </c>
      <c r="BR296" s="160">
        <f t="shared" si="104"/>
        <v>0.39235827800590328</v>
      </c>
      <c r="BS296" s="215"/>
      <c r="BT296" s="215"/>
      <c r="BU296" s="215"/>
      <c r="BV296" s="162">
        <f t="shared" si="105"/>
        <v>0.45775132434022048</v>
      </c>
      <c r="BW296" s="162"/>
      <c r="BX296" s="95">
        <f t="shared" si="119"/>
        <v>0.73398057178690523</v>
      </c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>
        <v>60000000</v>
      </c>
      <c r="CL296" s="95">
        <v>60000000</v>
      </c>
      <c r="CM296" s="216" t="s">
        <v>105</v>
      </c>
      <c r="CN296" s="216" t="s">
        <v>109</v>
      </c>
    </row>
    <row r="297" spans="1:92" s="118" customFormat="1" ht="39.75" customHeight="1" x14ac:dyDescent="0.2">
      <c r="A297" s="118">
        <f>A294+1</f>
        <v>153</v>
      </c>
      <c r="B297" s="99">
        <f t="shared" si="115"/>
        <v>274</v>
      </c>
      <c r="C297" s="100" t="s">
        <v>504</v>
      </c>
      <c r="D297" s="101" t="s">
        <v>505</v>
      </c>
      <c r="E297" s="100" t="s">
        <v>133</v>
      </c>
      <c r="F297" s="100" t="s">
        <v>96</v>
      </c>
      <c r="G297" s="103">
        <v>43497</v>
      </c>
      <c r="H297" s="173" t="s">
        <v>506</v>
      </c>
      <c r="I297" s="104">
        <v>10000000</v>
      </c>
      <c r="J297" s="105">
        <v>7.7499999999999999E-2</v>
      </c>
      <c r="K297" s="105">
        <v>7.4999999999999997E-2</v>
      </c>
      <c r="L297" s="106">
        <v>0.9</v>
      </c>
      <c r="M297" s="107">
        <v>10</v>
      </c>
      <c r="N297" s="107">
        <v>4</v>
      </c>
      <c r="O297" s="106">
        <v>12</v>
      </c>
      <c r="P297" s="107">
        <f t="shared" si="110"/>
        <v>581250</v>
      </c>
      <c r="Q297" s="107">
        <f t="shared" si="111"/>
        <v>6066560.6589831896</v>
      </c>
      <c r="R297" s="107">
        <f t="shared" si="112"/>
        <v>352618.83830339788</v>
      </c>
      <c r="S297" s="107">
        <f t="shared" si="113"/>
        <v>228631.16169660212</v>
      </c>
      <c r="T297" s="108">
        <v>0.606656065898319</v>
      </c>
      <c r="U297" s="107"/>
      <c r="V297" s="106"/>
      <c r="W297" s="107">
        <f t="shared" si="108"/>
        <v>6066560.6589831896</v>
      </c>
      <c r="X297" s="107">
        <f t="shared" si="108"/>
        <v>352618.83830339788</v>
      </c>
      <c r="Y297" s="109">
        <f t="shared" si="109"/>
        <v>6066560.6589831896</v>
      </c>
      <c r="Z297" s="109">
        <f t="shared" si="109"/>
        <v>352618.83830339788</v>
      </c>
      <c r="AA297" s="109"/>
      <c r="AB297" s="109"/>
      <c r="AC297" s="109">
        <f t="shared" si="120"/>
        <v>352618.83830339788</v>
      </c>
      <c r="AD297" s="110">
        <v>6066560.6589831896</v>
      </c>
      <c r="AE297" s="110">
        <f t="shared" si="92"/>
        <v>6740622.9544257652</v>
      </c>
      <c r="AF297" s="110"/>
      <c r="AG297" s="111"/>
      <c r="AH297" s="111"/>
      <c r="AI297" s="111"/>
      <c r="AJ297" s="111"/>
      <c r="AK297" s="111"/>
      <c r="AL297" s="111">
        <f t="shared" si="106"/>
        <v>352618.83830339788</v>
      </c>
      <c r="AM297" s="111"/>
      <c r="AN297" s="111"/>
      <c r="AO297" s="111"/>
      <c r="AP297" s="111">
        <f t="shared" si="103"/>
        <v>352618.83830339788</v>
      </c>
      <c r="AQ297" s="111"/>
      <c r="AR297" s="111">
        <f t="shared" si="117"/>
        <v>352618.83830339788</v>
      </c>
      <c r="AS297" s="111"/>
      <c r="AT297" s="111">
        <v>0</v>
      </c>
      <c r="AU297" s="111">
        <f t="shared" si="124"/>
        <v>352618.83830339788</v>
      </c>
      <c r="AV297" s="111"/>
      <c r="AW297" s="111"/>
      <c r="AX297" s="111"/>
      <c r="AY297" s="111">
        <v>0</v>
      </c>
      <c r="AZ297" s="111"/>
      <c r="BA297" s="111">
        <f t="shared" si="116"/>
        <v>0</v>
      </c>
      <c r="BB297" s="111"/>
      <c r="BC297" s="111"/>
      <c r="BD297" s="111"/>
      <c r="BE297" s="111"/>
      <c r="BF297" s="111"/>
      <c r="BG297" s="111"/>
      <c r="BH297" s="111">
        <f t="shared" si="114"/>
        <v>0</v>
      </c>
      <c r="BI297" s="111">
        <v>0</v>
      </c>
      <c r="BJ297" s="112">
        <f t="shared" si="96"/>
        <v>7583200.8237289861</v>
      </c>
      <c r="BK297" s="112"/>
      <c r="BL297" s="112"/>
      <c r="BM297" s="113"/>
      <c r="BN297" s="113"/>
      <c r="BO297" s="113"/>
      <c r="BP297" s="113"/>
      <c r="BQ297" s="114">
        <f t="shared" si="107"/>
        <v>7583200.8237289861</v>
      </c>
      <c r="BR297" s="114">
        <f t="shared" si="104"/>
        <v>8666515.2271188423</v>
      </c>
      <c r="BS297" s="98"/>
      <c r="BT297" s="98"/>
      <c r="BU297" s="98"/>
      <c r="BV297" s="115">
        <f t="shared" si="105"/>
        <v>10110934.431638649</v>
      </c>
      <c r="BW297" s="115"/>
      <c r="BX297" s="116">
        <f t="shared" si="119"/>
        <v>15671948.369039906</v>
      </c>
      <c r="BY297" s="116">
        <v>0</v>
      </c>
      <c r="BZ297" s="116"/>
      <c r="CA297" s="116"/>
      <c r="CB297" s="116"/>
      <c r="CC297" s="116"/>
      <c r="CD297" s="116">
        <v>0</v>
      </c>
      <c r="CE297" s="116"/>
      <c r="CF297" s="116"/>
      <c r="CG297" s="116"/>
      <c r="CH297" s="116"/>
      <c r="CI297" s="116"/>
      <c r="CJ297" s="116"/>
      <c r="CK297" s="116">
        <v>0</v>
      </c>
      <c r="CL297" s="116">
        <v>10000000</v>
      </c>
      <c r="CM297" s="217" t="s">
        <v>507</v>
      </c>
      <c r="CN297" s="118" t="s">
        <v>95</v>
      </c>
    </row>
    <row r="298" spans="1:92" s="120" customFormat="1" ht="25.5" x14ac:dyDescent="0.2">
      <c r="A298" s="120">
        <f>A297+1</f>
        <v>154</v>
      </c>
      <c r="B298" s="99">
        <f t="shared" si="115"/>
        <v>275</v>
      </c>
      <c r="C298" s="122" t="s">
        <v>508</v>
      </c>
      <c r="D298" s="123" t="s">
        <v>509</v>
      </c>
      <c r="E298" s="122" t="s">
        <v>95</v>
      </c>
      <c r="F298" s="100" t="s">
        <v>134</v>
      </c>
      <c r="G298" s="124">
        <v>43497</v>
      </c>
      <c r="H298" s="124">
        <v>43497</v>
      </c>
      <c r="I298" s="125">
        <v>100000000</v>
      </c>
      <c r="J298" s="126">
        <v>7.7499999999999999E-2</v>
      </c>
      <c r="K298" s="105">
        <v>7.4999999999999997E-2</v>
      </c>
      <c r="L298" s="127">
        <v>0.9</v>
      </c>
      <c r="M298" s="128">
        <v>10</v>
      </c>
      <c r="N298" s="128"/>
      <c r="O298" s="127">
        <v>12</v>
      </c>
      <c r="P298" s="128">
        <f t="shared" si="110"/>
        <v>5812500</v>
      </c>
      <c r="Q298" s="128">
        <f t="shared" si="111"/>
        <v>60665606.589831896</v>
      </c>
      <c r="R298" s="128">
        <f t="shared" si="112"/>
        <v>3526188.3830339783</v>
      </c>
      <c r="S298" s="128">
        <f t="shared" si="113"/>
        <v>2286311.6169660217</v>
      </c>
      <c r="T298" s="129">
        <v>0.606656065898319</v>
      </c>
      <c r="U298" s="128"/>
      <c r="V298" s="127"/>
      <c r="W298" s="128">
        <f t="shared" si="108"/>
        <v>60665606.589831896</v>
      </c>
      <c r="X298" s="128">
        <f t="shared" si="108"/>
        <v>3526188.3830339783</v>
      </c>
      <c r="Y298" s="130">
        <f t="shared" si="109"/>
        <v>60665606.589831896</v>
      </c>
      <c r="Z298" s="130">
        <f t="shared" si="109"/>
        <v>3526188.3830339783</v>
      </c>
      <c r="AA298" s="130">
        <f>5331575.34-AA300-218602.19</f>
        <v>3526188.38</v>
      </c>
      <c r="AB298" s="130"/>
      <c r="AC298" s="130">
        <f>Z298-AA298-AB298</f>
        <v>3.0339783988893032E-3</v>
      </c>
      <c r="AD298" s="131">
        <v>115559405.14034846</v>
      </c>
      <c r="AE298" s="131">
        <f t="shared" si="92"/>
        <v>5.7997197589281776E-2</v>
      </c>
      <c r="AF298" s="131"/>
      <c r="AG298" s="132"/>
      <c r="AH298" s="132"/>
      <c r="AI298" s="132"/>
      <c r="AJ298" s="132"/>
      <c r="AK298" s="132"/>
      <c r="AL298" s="111">
        <f t="shared" si="106"/>
        <v>3.0339783988893032E-3</v>
      </c>
      <c r="AM298" s="111"/>
      <c r="AN298" s="111"/>
      <c r="AO298" s="111"/>
      <c r="AP298" s="111">
        <f t="shared" si="103"/>
        <v>3.0339783988893032E-3</v>
      </c>
      <c r="AQ298" s="111"/>
      <c r="AR298" s="111">
        <f t="shared" si="117"/>
        <v>3.0339783988893032E-3</v>
      </c>
      <c r="AS298" s="111"/>
      <c r="AT298" s="111">
        <v>0</v>
      </c>
      <c r="AU298" s="111">
        <f t="shared" si="124"/>
        <v>3.0339783988893032E-3</v>
      </c>
      <c r="AV298" s="111"/>
      <c r="AW298" s="111"/>
      <c r="AX298" s="111"/>
      <c r="AY298" s="111"/>
      <c r="AZ298" s="111"/>
      <c r="BA298" s="111">
        <f t="shared" si="116"/>
        <v>0</v>
      </c>
      <c r="BB298" s="111"/>
      <c r="BC298" s="111"/>
      <c r="BD298" s="111"/>
      <c r="BE298" s="111"/>
      <c r="BF298" s="111"/>
      <c r="BG298" s="111"/>
      <c r="BH298" s="111">
        <f t="shared" si="114"/>
        <v>0</v>
      </c>
      <c r="BI298" s="111"/>
      <c r="BJ298" s="112">
        <f t="shared" si="96"/>
        <v>6.5246847287942E-2</v>
      </c>
      <c r="BK298" s="134"/>
      <c r="BL298" s="134"/>
      <c r="BM298" s="135"/>
      <c r="BN298" s="135"/>
      <c r="BO298" s="135"/>
      <c r="BP298" s="135"/>
      <c r="BQ298" s="114">
        <f t="shared" si="107"/>
        <v>6.5246847287942E-2</v>
      </c>
      <c r="BR298" s="114">
        <f t="shared" si="104"/>
        <v>7.4567825471933719E-2</v>
      </c>
      <c r="BS298" s="136"/>
      <c r="BT298" s="136"/>
      <c r="BU298" s="136"/>
      <c r="BV298" s="115">
        <f t="shared" si="105"/>
        <v>8.6995796383922672E-2</v>
      </c>
      <c r="BW298" s="115"/>
      <c r="BX298" s="116">
        <f t="shared" si="119"/>
        <v>0.13484348439508015</v>
      </c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>
        <v>0</v>
      </c>
      <c r="CL298" s="116"/>
      <c r="CM298" s="119"/>
    </row>
    <row r="299" spans="1:92" s="120" customFormat="1" ht="25.5" x14ac:dyDescent="0.2">
      <c r="B299" s="99">
        <f t="shared" si="115"/>
        <v>276</v>
      </c>
      <c r="C299" s="122" t="s">
        <v>508</v>
      </c>
      <c r="D299" s="123" t="s">
        <v>509</v>
      </c>
      <c r="E299" s="122" t="s">
        <v>151</v>
      </c>
      <c r="F299" s="100" t="s">
        <v>134</v>
      </c>
      <c r="G299" s="124">
        <v>43497</v>
      </c>
      <c r="H299" s="124">
        <v>43497</v>
      </c>
      <c r="I299" s="125">
        <v>100000000</v>
      </c>
      <c r="J299" s="126">
        <v>7.7499999999999999E-2</v>
      </c>
      <c r="K299" s="105">
        <v>7.4999999999999997E-2</v>
      </c>
      <c r="L299" s="127">
        <v>0.9</v>
      </c>
      <c r="M299" s="128">
        <v>10</v>
      </c>
      <c r="N299" s="128"/>
      <c r="O299" s="127">
        <v>12</v>
      </c>
      <c r="P299" s="128">
        <f t="shared" si="110"/>
        <v>5812500</v>
      </c>
      <c r="Q299" s="128">
        <f t="shared" si="111"/>
        <v>60665606.589831896</v>
      </c>
      <c r="R299" s="128">
        <f t="shared" si="112"/>
        <v>3526188.3830339783</v>
      </c>
      <c r="S299" s="128">
        <f t="shared" si="113"/>
        <v>2286311.6169660217</v>
      </c>
      <c r="T299" s="129">
        <v>0.606656065898319</v>
      </c>
      <c r="U299" s="332">
        <v>100000000</v>
      </c>
      <c r="V299" s="303">
        <f>5812500-V302+534639.09</f>
        <v>3526188.38</v>
      </c>
      <c r="W299" s="128">
        <f t="shared" si="108"/>
        <v>-39334393.410168104</v>
      </c>
      <c r="X299" s="128">
        <f t="shared" si="108"/>
        <v>3.0339783988893032E-3</v>
      </c>
      <c r="Y299" s="130">
        <f>SUM(W299)</f>
        <v>-39334393.410168104</v>
      </c>
      <c r="Z299" s="130">
        <f t="shared" si="109"/>
        <v>3.0339783988893032E-3</v>
      </c>
      <c r="AA299" s="130"/>
      <c r="AB299" s="130"/>
      <c r="AC299" s="130">
        <f t="shared" si="120"/>
        <v>3.0339783988893032E-3</v>
      </c>
      <c r="AD299" s="131">
        <v>0</v>
      </c>
      <c r="AE299" s="131">
        <f t="shared" si="92"/>
        <v>5.7997197589281776E-2</v>
      </c>
      <c r="AF299" s="131"/>
      <c r="AG299" s="132"/>
      <c r="AH299" s="132"/>
      <c r="AI299" s="132"/>
      <c r="AJ299" s="132"/>
      <c r="AK299" s="132"/>
      <c r="AL299" s="111">
        <f t="shared" si="106"/>
        <v>3.0339783988893032E-3</v>
      </c>
      <c r="AM299" s="111"/>
      <c r="AN299" s="111"/>
      <c r="AO299" s="111"/>
      <c r="AP299" s="111">
        <f t="shared" si="103"/>
        <v>3.0339783988893032E-3</v>
      </c>
      <c r="AQ299" s="111"/>
      <c r="AR299" s="111">
        <f t="shared" si="117"/>
        <v>3.0339783988893032E-3</v>
      </c>
      <c r="AS299" s="111"/>
      <c r="AT299" s="111">
        <v>0</v>
      </c>
      <c r="AU299" s="111">
        <f t="shared" si="124"/>
        <v>3.0339783988893032E-3</v>
      </c>
      <c r="AV299" s="111"/>
      <c r="AW299" s="111"/>
      <c r="AX299" s="111"/>
      <c r="AY299" s="111"/>
      <c r="AZ299" s="111"/>
      <c r="BA299" s="111">
        <f t="shared" si="116"/>
        <v>0</v>
      </c>
      <c r="BB299" s="111"/>
      <c r="BC299" s="111"/>
      <c r="BD299" s="111"/>
      <c r="BE299" s="111"/>
      <c r="BF299" s="111"/>
      <c r="BG299" s="111"/>
      <c r="BH299" s="111">
        <f t="shared" si="114"/>
        <v>0</v>
      </c>
      <c r="BI299" s="111"/>
      <c r="BJ299" s="112">
        <f t="shared" si="96"/>
        <v>6.5246847287942E-2</v>
      </c>
      <c r="BK299" s="134"/>
      <c r="BL299" s="134"/>
      <c r="BM299" s="135"/>
      <c r="BN299" s="135"/>
      <c r="BO299" s="135"/>
      <c r="BP299" s="135"/>
      <c r="BQ299" s="114">
        <f t="shared" si="107"/>
        <v>6.5246847287942E-2</v>
      </c>
      <c r="BR299" s="114">
        <f t="shared" si="104"/>
        <v>7.4567825471933719E-2</v>
      </c>
      <c r="BS299" s="136"/>
      <c r="BT299" s="136"/>
      <c r="BU299" s="136"/>
      <c r="BV299" s="115">
        <f t="shared" si="105"/>
        <v>8.6995796383922672E-2</v>
      </c>
      <c r="BW299" s="115"/>
      <c r="BX299" s="116">
        <f t="shared" si="119"/>
        <v>0.13484348439508015</v>
      </c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>
        <v>0</v>
      </c>
      <c r="CL299" s="116"/>
      <c r="CM299" s="119"/>
    </row>
    <row r="300" spans="1:92" s="120" customFormat="1" ht="25.5" x14ac:dyDescent="0.2">
      <c r="B300" s="99">
        <f t="shared" si="115"/>
        <v>277</v>
      </c>
      <c r="C300" s="122" t="s">
        <v>508</v>
      </c>
      <c r="D300" s="123" t="s">
        <v>509</v>
      </c>
      <c r="E300" s="122" t="s">
        <v>95</v>
      </c>
      <c r="F300" s="100" t="s">
        <v>134</v>
      </c>
      <c r="G300" s="124">
        <v>43525</v>
      </c>
      <c r="H300" s="124">
        <v>43525</v>
      </c>
      <c r="I300" s="125">
        <v>50000000</v>
      </c>
      <c r="J300" s="126">
        <v>7.7499999999999999E-2</v>
      </c>
      <c r="K300" s="105">
        <v>7.4999999999999997E-2</v>
      </c>
      <c r="L300" s="127">
        <v>0.9</v>
      </c>
      <c r="M300" s="128">
        <v>9</v>
      </c>
      <c r="N300" s="128"/>
      <c r="O300" s="127">
        <v>12</v>
      </c>
      <c r="P300" s="128">
        <f t="shared" si="110"/>
        <v>2615625</v>
      </c>
      <c r="Q300" s="128">
        <f t="shared" si="111"/>
        <v>30332803.294915948</v>
      </c>
      <c r="R300" s="128">
        <f t="shared" si="112"/>
        <v>1586784.7723652904</v>
      </c>
      <c r="S300" s="128">
        <f t="shared" si="113"/>
        <v>1028840.2276347096</v>
      </c>
      <c r="T300" s="129">
        <v>0.606656065898319</v>
      </c>
      <c r="U300" s="128"/>
      <c r="V300" s="127"/>
      <c r="W300" s="128">
        <f t="shared" si="108"/>
        <v>30332803.294915948</v>
      </c>
      <c r="X300" s="128">
        <f>R300-V300</f>
        <v>1586784.7723652904</v>
      </c>
      <c r="Y300" s="130">
        <f t="shared" si="109"/>
        <v>30332803.294915948</v>
      </c>
      <c r="Z300" s="130">
        <f>SUM(X300)</f>
        <v>1586784.7723652904</v>
      </c>
      <c r="AA300" s="130">
        <v>1586784.77</v>
      </c>
      <c r="AB300" s="130"/>
      <c r="AC300" s="130">
        <f t="shared" si="120"/>
        <v>2.3652904201298952E-3</v>
      </c>
      <c r="AD300" s="131">
        <v>0</v>
      </c>
      <c r="AE300" s="131">
        <f t="shared" si="92"/>
        <v>4.5214631687070878E-2</v>
      </c>
      <c r="AF300" s="131"/>
      <c r="AG300" s="132"/>
      <c r="AH300" s="132"/>
      <c r="AI300" s="132"/>
      <c r="AJ300" s="132"/>
      <c r="AK300" s="132"/>
      <c r="AL300" s="111">
        <f t="shared" si="106"/>
        <v>2.3652904201298952E-3</v>
      </c>
      <c r="AM300" s="111"/>
      <c r="AN300" s="111"/>
      <c r="AO300" s="111"/>
      <c r="AP300" s="111">
        <f t="shared" si="103"/>
        <v>2.3652904201298952E-3</v>
      </c>
      <c r="AQ300" s="111"/>
      <c r="AR300" s="111">
        <f t="shared" si="117"/>
        <v>2.3652904201298952E-3</v>
      </c>
      <c r="AS300" s="111"/>
      <c r="AT300" s="111">
        <v>0</v>
      </c>
      <c r="AU300" s="111">
        <f t="shared" si="124"/>
        <v>2.3652904201298952E-3</v>
      </c>
      <c r="AV300" s="111"/>
      <c r="AW300" s="111"/>
      <c r="AX300" s="111"/>
      <c r="AY300" s="111"/>
      <c r="AZ300" s="111"/>
      <c r="BA300" s="111">
        <f t="shared" si="116"/>
        <v>0</v>
      </c>
      <c r="BB300" s="111"/>
      <c r="BC300" s="111"/>
      <c r="BD300" s="111"/>
      <c r="BE300" s="111"/>
      <c r="BF300" s="111"/>
      <c r="BG300" s="111"/>
      <c r="BH300" s="111">
        <f t="shared" si="114"/>
        <v>0</v>
      </c>
      <c r="BI300" s="111"/>
      <c r="BJ300" s="112">
        <f t="shared" si="96"/>
        <v>5.0866460647954734E-2</v>
      </c>
      <c r="BK300" s="134"/>
      <c r="BL300" s="134"/>
      <c r="BM300" s="135"/>
      <c r="BN300" s="135"/>
      <c r="BO300" s="135"/>
      <c r="BP300" s="135"/>
      <c r="BQ300" s="114">
        <f t="shared" si="107"/>
        <v>5.0866460647954734E-2</v>
      </c>
      <c r="BR300" s="114">
        <f t="shared" si="104"/>
        <v>5.8133097883376846E-2</v>
      </c>
      <c r="BS300" s="136"/>
      <c r="BT300" s="136"/>
      <c r="BU300" s="136"/>
      <c r="BV300" s="115">
        <f t="shared" si="105"/>
        <v>6.7821947530606316E-2</v>
      </c>
      <c r="BW300" s="115"/>
      <c r="BX300" s="116">
        <f t="shared" si="119"/>
        <v>0.10512401867243981</v>
      </c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>
        <v>0</v>
      </c>
      <c r="CL300" s="116"/>
      <c r="CM300" s="119"/>
    </row>
    <row r="301" spans="1:92" s="120" customFormat="1" ht="25.5" x14ac:dyDescent="0.2">
      <c r="B301" s="99">
        <f t="shared" si="115"/>
        <v>278</v>
      </c>
      <c r="C301" s="122" t="s">
        <v>508</v>
      </c>
      <c r="D301" s="123" t="s">
        <v>509</v>
      </c>
      <c r="E301" s="122" t="s">
        <v>151</v>
      </c>
      <c r="F301" s="100" t="s">
        <v>134</v>
      </c>
      <c r="G301" s="124">
        <v>43525</v>
      </c>
      <c r="H301" s="124">
        <v>43525</v>
      </c>
      <c r="I301" s="125">
        <v>100000000</v>
      </c>
      <c r="J301" s="126">
        <v>7.7499999999999999E-2</v>
      </c>
      <c r="K301" s="105">
        <v>7.4999999999999997E-2</v>
      </c>
      <c r="L301" s="127">
        <v>0.9</v>
      </c>
      <c r="M301" s="128">
        <v>9</v>
      </c>
      <c r="N301" s="128"/>
      <c r="O301" s="127">
        <v>12</v>
      </c>
      <c r="P301" s="128">
        <f t="shared" si="110"/>
        <v>5231250</v>
      </c>
      <c r="Q301" s="128">
        <f t="shared" si="111"/>
        <v>60665606.589831896</v>
      </c>
      <c r="R301" s="128">
        <f t="shared" si="112"/>
        <v>3173569.5447305809</v>
      </c>
      <c r="S301" s="128">
        <f t="shared" si="113"/>
        <v>2057680.4552694191</v>
      </c>
      <c r="T301" s="129">
        <v>0.606656065898319</v>
      </c>
      <c r="U301" s="332">
        <v>100000000</v>
      </c>
      <c r="V301" s="303">
        <f>5812500-534639.09-V303-V304</f>
        <v>3173569.54</v>
      </c>
      <c r="W301" s="128">
        <f t="shared" si="108"/>
        <v>-39334393.410168104</v>
      </c>
      <c r="X301" s="128">
        <f t="shared" si="108"/>
        <v>4.7305808402597904E-3</v>
      </c>
      <c r="Y301" s="130">
        <f t="shared" si="109"/>
        <v>-39334393.410168104</v>
      </c>
      <c r="Z301" s="130">
        <f t="shared" si="109"/>
        <v>4.7305808402597904E-3</v>
      </c>
      <c r="AA301" s="130"/>
      <c r="AB301" s="130"/>
      <c r="AC301" s="130">
        <f t="shared" si="120"/>
        <v>4.7305808402597904E-3</v>
      </c>
      <c r="AD301" s="131">
        <v>0</v>
      </c>
      <c r="AE301" s="131">
        <f t="shared" si="92"/>
        <v>9.0429263374141755E-2</v>
      </c>
      <c r="AF301" s="131"/>
      <c r="AG301" s="132"/>
      <c r="AH301" s="132"/>
      <c r="AI301" s="132"/>
      <c r="AJ301" s="132"/>
      <c r="AK301" s="132"/>
      <c r="AL301" s="111">
        <f t="shared" si="106"/>
        <v>4.7305808402597904E-3</v>
      </c>
      <c r="AM301" s="111"/>
      <c r="AN301" s="111"/>
      <c r="AO301" s="111"/>
      <c r="AP301" s="111">
        <f t="shared" si="103"/>
        <v>4.7305808402597904E-3</v>
      </c>
      <c r="AQ301" s="111"/>
      <c r="AR301" s="111">
        <f t="shared" si="117"/>
        <v>4.7305808402597904E-3</v>
      </c>
      <c r="AS301" s="111"/>
      <c r="AT301" s="111">
        <v>0</v>
      </c>
      <c r="AU301" s="111">
        <f t="shared" si="124"/>
        <v>4.7305808402597904E-3</v>
      </c>
      <c r="AV301" s="111"/>
      <c r="AW301" s="111"/>
      <c r="AX301" s="111"/>
      <c r="AY301" s="111"/>
      <c r="AZ301" s="111"/>
      <c r="BA301" s="111">
        <f t="shared" si="116"/>
        <v>0</v>
      </c>
      <c r="BB301" s="111"/>
      <c r="BC301" s="111"/>
      <c r="BD301" s="111"/>
      <c r="BE301" s="111"/>
      <c r="BF301" s="111"/>
      <c r="BG301" s="111"/>
      <c r="BH301" s="111">
        <f t="shared" si="114"/>
        <v>0</v>
      </c>
      <c r="BI301" s="111"/>
      <c r="BJ301" s="112">
        <f t="shared" si="96"/>
        <v>0.10173292129590947</v>
      </c>
      <c r="BK301" s="134"/>
      <c r="BL301" s="134"/>
      <c r="BM301" s="135"/>
      <c r="BN301" s="135"/>
      <c r="BO301" s="135"/>
      <c r="BP301" s="135"/>
      <c r="BQ301" s="114">
        <f t="shared" si="107"/>
        <v>0.10173292129590947</v>
      </c>
      <c r="BR301" s="114">
        <f t="shared" si="104"/>
        <v>0.11626619576675369</v>
      </c>
      <c r="BS301" s="136"/>
      <c r="BT301" s="136"/>
      <c r="BU301" s="136"/>
      <c r="BV301" s="115">
        <f t="shared" si="105"/>
        <v>0.13564389506121263</v>
      </c>
      <c r="BW301" s="115"/>
      <c r="BX301" s="116">
        <f t="shared" si="119"/>
        <v>0.21024803734487962</v>
      </c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>
        <v>0</v>
      </c>
      <c r="CL301" s="116"/>
      <c r="CM301" s="119"/>
    </row>
    <row r="302" spans="1:92" s="120" customFormat="1" ht="25.5" x14ac:dyDescent="0.2">
      <c r="B302" s="99">
        <f t="shared" si="115"/>
        <v>279</v>
      </c>
      <c r="C302" s="122" t="s">
        <v>508</v>
      </c>
      <c r="D302" s="123" t="s">
        <v>509</v>
      </c>
      <c r="E302" s="122" t="s">
        <v>151</v>
      </c>
      <c r="F302" s="100" t="s">
        <v>134</v>
      </c>
      <c r="G302" s="124">
        <v>43556</v>
      </c>
      <c r="H302" s="124">
        <v>43556</v>
      </c>
      <c r="I302" s="125">
        <v>100000000</v>
      </c>
      <c r="J302" s="126">
        <v>7.7499999999999999E-2</v>
      </c>
      <c r="K302" s="105">
        <v>7.4999999999999997E-2</v>
      </c>
      <c r="L302" s="127">
        <v>0.9</v>
      </c>
      <c r="M302" s="128">
        <v>8</v>
      </c>
      <c r="N302" s="128"/>
      <c r="O302" s="127">
        <v>12</v>
      </c>
      <c r="P302" s="128">
        <f t="shared" si="110"/>
        <v>4650000</v>
      </c>
      <c r="Q302" s="128">
        <f t="shared" si="111"/>
        <v>60665606.589831896</v>
      </c>
      <c r="R302" s="128">
        <f t="shared" si="112"/>
        <v>2820950.706427183</v>
      </c>
      <c r="S302" s="128">
        <f t="shared" si="113"/>
        <v>1829049.293572817</v>
      </c>
      <c r="T302" s="129">
        <v>0.606656065898319</v>
      </c>
      <c r="U302" s="128"/>
      <c r="V302" s="333">
        <v>2820950.71</v>
      </c>
      <c r="W302" s="128">
        <f t="shared" si="108"/>
        <v>60665606.589831896</v>
      </c>
      <c r="X302" s="128">
        <f t="shared" si="108"/>
        <v>-3.5728169605135918E-3</v>
      </c>
      <c r="Y302" s="130">
        <f t="shared" si="109"/>
        <v>60665606.589831896</v>
      </c>
      <c r="Z302" s="130">
        <f t="shared" si="109"/>
        <v>-3.5728169605135918E-3</v>
      </c>
      <c r="AA302" s="130"/>
      <c r="AB302" s="130"/>
      <c r="AC302" s="130">
        <f t="shared" si="120"/>
        <v>-3.5728169605135918E-3</v>
      </c>
      <c r="AD302" s="131">
        <v>0</v>
      </c>
      <c r="AE302" s="131">
        <f t="shared" si="92"/>
        <v>-6.8297576306114063E-2</v>
      </c>
      <c r="AF302" s="131"/>
      <c r="AG302" s="132"/>
      <c r="AH302" s="132"/>
      <c r="AI302" s="132"/>
      <c r="AJ302" s="132"/>
      <c r="AK302" s="132"/>
      <c r="AL302" s="111">
        <f t="shared" si="106"/>
        <v>-3.5728169605135918E-3</v>
      </c>
      <c r="AM302" s="111"/>
      <c r="AN302" s="111"/>
      <c r="AO302" s="111"/>
      <c r="AP302" s="111">
        <f t="shared" si="103"/>
        <v>-3.5728169605135918E-3</v>
      </c>
      <c r="AQ302" s="111"/>
      <c r="AR302" s="111">
        <f t="shared" si="117"/>
        <v>-3.5728169605135918E-3</v>
      </c>
      <c r="AS302" s="111"/>
      <c r="AT302" s="111">
        <v>0</v>
      </c>
      <c r="AU302" s="111">
        <f t="shared" si="124"/>
        <v>-3.5728169605135918E-3</v>
      </c>
      <c r="AV302" s="111"/>
      <c r="AW302" s="111"/>
      <c r="AX302" s="111"/>
      <c r="AY302" s="111"/>
      <c r="AZ302" s="111"/>
      <c r="BA302" s="111">
        <f t="shared" si="116"/>
        <v>0</v>
      </c>
      <c r="BB302" s="111"/>
      <c r="BC302" s="111"/>
      <c r="BD302" s="111"/>
      <c r="BE302" s="111"/>
      <c r="BF302" s="111"/>
      <c r="BG302" s="111"/>
      <c r="BH302" s="111">
        <f t="shared" si="114"/>
        <v>0</v>
      </c>
      <c r="BI302" s="111"/>
      <c r="BJ302" s="133">
        <f t="shared" si="96"/>
        <v>-7.6834773344378313E-2</v>
      </c>
      <c r="BK302" s="134"/>
      <c r="BL302" s="134"/>
      <c r="BM302" s="135"/>
      <c r="BN302" s="135"/>
      <c r="BO302" s="135"/>
      <c r="BP302" s="135"/>
      <c r="BQ302" s="114">
        <f t="shared" si="107"/>
        <v>-7.6834773344378313E-2</v>
      </c>
      <c r="BR302" s="114">
        <f t="shared" si="104"/>
        <v>-8.7811169536432365E-2</v>
      </c>
      <c r="BS302" s="136"/>
      <c r="BT302" s="136"/>
      <c r="BU302" s="136"/>
      <c r="BV302" s="115">
        <f t="shared" si="105"/>
        <v>-0.1024463644591711</v>
      </c>
      <c r="BW302" s="115"/>
      <c r="BX302" s="116">
        <f t="shared" si="119"/>
        <v>-0.15879186491171521</v>
      </c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>
        <v>0</v>
      </c>
      <c r="CL302" s="116"/>
      <c r="CM302" s="119"/>
    </row>
    <row r="303" spans="1:92" s="120" customFormat="1" ht="25.5" x14ac:dyDescent="0.2">
      <c r="B303" s="99">
        <f t="shared" si="115"/>
        <v>280</v>
      </c>
      <c r="C303" s="122" t="s">
        <v>508</v>
      </c>
      <c r="D303" s="123" t="s">
        <v>509</v>
      </c>
      <c r="E303" s="122" t="s">
        <v>151</v>
      </c>
      <c r="F303" s="100" t="s">
        <v>134</v>
      </c>
      <c r="G303" s="124">
        <v>43556</v>
      </c>
      <c r="H303" s="124">
        <v>43556</v>
      </c>
      <c r="I303" s="125">
        <v>50000000</v>
      </c>
      <c r="J303" s="126">
        <v>7.7499999999999999E-2</v>
      </c>
      <c r="K303" s="105">
        <v>7.4999999999999997E-2</v>
      </c>
      <c r="L303" s="127">
        <v>0.9</v>
      </c>
      <c r="M303" s="128">
        <v>8</v>
      </c>
      <c r="N303" s="128"/>
      <c r="O303" s="127">
        <v>12</v>
      </c>
      <c r="P303" s="128">
        <f t="shared" si="110"/>
        <v>2325000</v>
      </c>
      <c r="Q303" s="128">
        <f t="shared" si="111"/>
        <v>30332803.294915948</v>
      </c>
      <c r="R303" s="128">
        <f t="shared" si="112"/>
        <v>1410475.3532135915</v>
      </c>
      <c r="S303" s="128">
        <f t="shared" si="113"/>
        <v>914524.6467864085</v>
      </c>
      <c r="T303" s="129">
        <v>0.606656065898319</v>
      </c>
      <c r="U303" s="128"/>
      <c r="V303" s="333">
        <v>1410475.35</v>
      </c>
      <c r="W303" s="128">
        <f t="shared" si="108"/>
        <v>30332803.294915948</v>
      </c>
      <c r="X303" s="128">
        <f t="shared" si="108"/>
        <v>3.2135914079844952E-3</v>
      </c>
      <c r="Y303" s="130">
        <f t="shared" si="109"/>
        <v>30332803.294915948</v>
      </c>
      <c r="Z303" s="130">
        <f t="shared" si="109"/>
        <v>3.2135914079844952E-3</v>
      </c>
      <c r="AA303" s="130"/>
      <c r="AB303" s="130"/>
      <c r="AC303" s="130">
        <f t="shared" si="120"/>
        <v>3.2135914079844952E-3</v>
      </c>
      <c r="AD303" s="131">
        <v>0</v>
      </c>
      <c r="AE303" s="131">
        <f t="shared" si="92"/>
        <v>6.1430660128735867E-2</v>
      </c>
      <c r="AF303" s="131"/>
      <c r="AG303" s="132"/>
      <c r="AH303" s="132"/>
      <c r="AI303" s="132"/>
      <c r="AJ303" s="132"/>
      <c r="AK303" s="132"/>
      <c r="AL303" s="111">
        <f t="shared" si="106"/>
        <v>3.2135914079844952E-3</v>
      </c>
      <c r="AM303" s="111"/>
      <c r="AN303" s="111"/>
      <c r="AO303" s="111"/>
      <c r="AP303" s="111">
        <f t="shared" si="103"/>
        <v>3.2135914079844952E-3</v>
      </c>
      <c r="AQ303" s="111"/>
      <c r="AR303" s="111">
        <f t="shared" si="117"/>
        <v>3.2135914079844952E-3</v>
      </c>
      <c r="AS303" s="111"/>
      <c r="AT303" s="111">
        <v>0</v>
      </c>
      <c r="AU303" s="111">
        <f t="shared" si="124"/>
        <v>3.2135914079844952E-3</v>
      </c>
      <c r="AV303" s="111"/>
      <c r="AW303" s="111"/>
      <c r="AX303" s="111"/>
      <c r="AY303" s="111"/>
      <c r="AZ303" s="111"/>
      <c r="BA303" s="111">
        <f t="shared" si="116"/>
        <v>0</v>
      </c>
      <c r="BB303" s="111"/>
      <c r="BC303" s="111"/>
      <c r="BD303" s="111"/>
      <c r="BE303" s="111"/>
      <c r="BF303" s="111"/>
      <c r="BG303" s="111"/>
      <c r="BH303" s="111">
        <f t="shared" si="114"/>
        <v>0</v>
      </c>
      <c r="BI303" s="111"/>
      <c r="BJ303" s="112">
        <f t="shared" si="96"/>
        <v>6.9109492644827852E-2</v>
      </c>
      <c r="BK303" s="134"/>
      <c r="BL303" s="134"/>
      <c r="BM303" s="135"/>
      <c r="BN303" s="135"/>
      <c r="BO303" s="135"/>
      <c r="BP303" s="135"/>
      <c r="BQ303" s="114">
        <f t="shared" si="107"/>
        <v>6.9109492644827852E-2</v>
      </c>
      <c r="BR303" s="114">
        <f t="shared" si="104"/>
        <v>7.8982277308374677E-2</v>
      </c>
      <c r="BS303" s="136"/>
      <c r="BT303" s="136"/>
      <c r="BU303" s="136"/>
      <c r="BV303" s="115">
        <f t="shared" si="105"/>
        <v>9.2145990193103794E-2</v>
      </c>
      <c r="BW303" s="115"/>
      <c r="BX303" s="116">
        <f t="shared" si="119"/>
        <v>0.14282628479931092</v>
      </c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>
        <v>0</v>
      </c>
      <c r="CL303" s="116"/>
      <c r="CM303" s="119"/>
    </row>
    <row r="304" spans="1:92" s="118" customFormat="1" ht="25.5" x14ac:dyDescent="0.2">
      <c r="B304" s="99">
        <f t="shared" si="115"/>
        <v>281</v>
      </c>
      <c r="C304" s="100" t="s">
        <v>508</v>
      </c>
      <c r="D304" s="101" t="s">
        <v>509</v>
      </c>
      <c r="E304" s="100" t="s">
        <v>151</v>
      </c>
      <c r="F304" s="100" t="s">
        <v>134</v>
      </c>
      <c r="G304" s="103">
        <v>43586</v>
      </c>
      <c r="H304" s="103" t="s">
        <v>510</v>
      </c>
      <c r="I304" s="104">
        <v>100000000</v>
      </c>
      <c r="J304" s="105">
        <v>7.7499999999999999E-2</v>
      </c>
      <c r="K304" s="105">
        <v>7.4999999999999997E-2</v>
      </c>
      <c r="L304" s="106">
        <v>0.9</v>
      </c>
      <c r="M304" s="107">
        <v>7</v>
      </c>
      <c r="N304" s="107"/>
      <c r="O304" s="106">
        <v>12</v>
      </c>
      <c r="P304" s="107">
        <f t="shared" si="110"/>
        <v>4068750</v>
      </c>
      <c r="Q304" s="107">
        <f t="shared" si="111"/>
        <v>60665606.589831896</v>
      </c>
      <c r="R304" s="107">
        <f t="shared" si="112"/>
        <v>2468331.8681237851</v>
      </c>
      <c r="S304" s="107">
        <f t="shared" si="113"/>
        <v>1600418.1318762149</v>
      </c>
      <c r="T304" s="108">
        <v>0.606656065898319</v>
      </c>
      <c r="U304" s="107"/>
      <c r="V304" s="334">
        <v>693816.02</v>
      </c>
      <c r="W304" s="107">
        <f t="shared" si="108"/>
        <v>60665606.589831896</v>
      </c>
      <c r="X304" s="107">
        <f t="shared" si="108"/>
        <v>1774515.8481237851</v>
      </c>
      <c r="Y304" s="109">
        <f t="shared" si="109"/>
        <v>60665606.589831896</v>
      </c>
      <c r="Z304" s="109">
        <f t="shared" si="109"/>
        <v>1774515.8481237851</v>
      </c>
      <c r="AA304" s="109">
        <v>218602.19</v>
      </c>
      <c r="AB304" s="109"/>
      <c r="AC304" s="109">
        <f>Z304-AA304-AB304</f>
        <v>1555913.6581237852</v>
      </c>
      <c r="AD304" s="110">
        <v>0</v>
      </c>
      <c r="AE304" s="110">
        <f t="shared" si="92"/>
        <v>29742674.468316086</v>
      </c>
      <c r="AF304" s="110"/>
      <c r="AG304" s="111"/>
      <c r="AH304" s="111"/>
      <c r="AI304" s="111">
        <v>1555913.66</v>
      </c>
      <c r="AJ304" s="111"/>
      <c r="AK304" s="111"/>
      <c r="AL304" s="111">
        <f t="shared" si="106"/>
        <v>-1.8762147519737482E-3</v>
      </c>
      <c r="AM304" s="111"/>
      <c r="AN304" s="111"/>
      <c r="AO304" s="111"/>
      <c r="AP304" s="111">
        <f t="shared" si="103"/>
        <v>-1.8762147519737482E-3</v>
      </c>
      <c r="AQ304" s="111"/>
      <c r="AR304" s="111">
        <f t="shared" si="117"/>
        <v>-1.8762147519737482E-3</v>
      </c>
      <c r="AS304" s="111"/>
      <c r="AT304" s="111">
        <v>0</v>
      </c>
      <c r="AU304" s="111">
        <f t="shared" si="124"/>
        <v>-1.8762147519737482E-3</v>
      </c>
      <c r="AV304" s="111"/>
      <c r="AW304" s="111"/>
      <c r="AX304" s="111"/>
      <c r="AY304" s="111"/>
      <c r="AZ304" s="111"/>
      <c r="BA304" s="111">
        <f t="shared" si="116"/>
        <v>0</v>
      </c>
      <c r="BB304" s="111"/>
      <c r="BC304" s="111"/>
      <c r="BD304" s="111"/>
      <c r="BE304" s="111"/>
      <c r="BF304" s="111"/>
      <c r="BG304" s="111"/>
      <c r="BH304" s="111">
        <f t="shared" si="114"/>
        <v>0</v>
      </c>
      <c r="BI304" s="111"/>
      <c r="BJ304" s="112">
        <f t="shared" si="96"/>
        <v>33460508.776855595</v>
      </c>
      <c r="BK304" s="112"/>
      <c r="BL304" s="112"/>
      <c r="BM304" s="113"/>
      <c r="BN304" s="112">
        <f>AI304/7.75%/0.9/7*12</f>
        <v>38240581.505376339</v>
      </c>
      <c r="BO304" s="112"/>
      <c r="BP304" s="112"/>
      <c r="BQ304" s="114">
        <f t="shared" si="107"/>
        <v>-4780072.7285207435</v>
      </c>
      <c r="BR304" s="114">
        <f t="shared" si="104"/>
        <v>-4.6112804964024534E-2</v>
      </c>
      <c r="BS304" s="98"/>
      <c r="BT304" s="98"/>
      <c r="BU304" s="98"/>
      <c r="BV304" s="115">
        <f t="shared" si="105"/>
        <v>-5.3798272458028623E-2</v>
      </c>
      <c r="BW304" s="115"/>
      <c r="BX304" s="116">
        <f t="shared" si="119"/>
        <v>-8.3387322309944362E-2</v>
      </c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>
        <v>0</v>
      </c>
      <c r="CL304" s="116"/>
      <c r="CM304" s="117"/>
    </row>
    <row r="305" spans="1:92" s="118" customFormat="1" ht="25.5" x14ac:dyDescent="0.2">
      <c r="B305" s="99">
        <f t="shared" si="115"/>
        <v>282</v>
      </c>
      <c r="C305" s="100" t="s">
        <v>508</v>
      </c>
      <c r="D305" s="101" t="s">
        <v>509</v>
      </c>
      <c r="E305" s="100" t="s">
        <v>151</v>
      </c>
      <c r="F305" s="100" t="s">
        <v>134</v>
      </c>
      <c r="G305" s="103">
        <v>43647</v>
      </c>
      <c r="H305" s="103">
        <v>43647</v>
      </c>
      <c r="I305" s="104">
        <v>100000000</v>
      </c>
      <c r="J305" s="105">
        <v>7.7499999999999999E-2</v>
      </c>
      <c r="K305" s="105">
        <v>7.4999999999999997E-2</v>
      </c>
      <c r="L305" s="106">
        <v>0.9</v>
      </c>
      <c r="M305" s="107">
        <v>5</v>
      </c>
      <c r="N305" s="107"/>
      <c r="O305" s="106">
        <v>12</v>
      </c>
      <c r="P305" s="107">
        <f t="shared" si="110"/>
        <v>2906250</v>
      </c>
      <c r="Q305" s="107">
        <f t="shared" si="111"/>
        <v>60665606.589831896</v>
      </c>
      <c r="R305" s="107">
        <f t="shared" si="112"/>
        <v>1763094.1915169891</v>
      </c>
      <c r="S305" s="107">
        <f t="shared" si="113"/>
        <v>1143155.8084830109</v>
      </c>
      <c r="T305" s="108">
        <v>0.606656065898319</v>
      </c>
      <c r="U305" s="107"/>
      <c r="V305" s="106"/>
      <c r="W305" s="107">
        <f t="shared" si="108"/>
        <v>60665606.589831896</v>
      </c>
      <c r="X305" s="107">
        <f t="shared" si="108"/>
        <v>1763094.1915169891</v>
      </c>
      <c r="Y305" s="109">
        <f t="shared" si="109"/>
        <v>60665606.589831896</v>
      </c>
      <c r="Z305" s="109">
        <f t="shared" si="109"/>
        <v>1763094.1915169891</v>
      </c>
      <c r="AA305" s="109"/>
      <c r="AB305" s="109"/>
      <c r="AC305" s="109">
        <f>BJ305*7.75/100*0.9*8/12</f>
        <v>2820950.7064350005</v>
      </c>
      <c r="AD305" s="110"/>
      <c r="AE305" s="110">
        <f t="shared" si="92"/>
        <v>53924983.635555558</v>
      </c>
      <c r="AF305" s="110"/>
      <c r="AG305" s="111"/>
      <c r="AH305" s="111"/>
      <c r="AI305" s="111">
        <f>4068750-1555913.66</f>
        <v>2512836.34</v>
      </c>
      <c r="AJ305" s="111"/>
      <c r="AK305" s="111"/>
      <c r="AL305" s="227">
        <f t="shared" si="106"/>
        <v>308114.36643500067</v>
      </c>
      <c r="AM305" s="227"/>
      <c r="AN305" s="227"/>
      <c r="AO305" s="227"/>
      <c r="AP305" s="111">
        <v>0</v>
      </c>
      <c r="AQ305" s="111"/>
      <c r="AR305" s="111">
        <f t="shared" si="117"/>
        <v>0</v>
      </c>
      <c r="AS305" s="111"/>
      <c r="AT305" s="111">
        <v>0</v>
      </c>
      <c r="AU305" s="111">
        <f t="shared" si="124"/>
        <v>0</v>
      </c>
      <c r="AV305" s="111"/>
      <c r="AW305" s="111"/>
      <c r="AX305" s="111"/>
      <c r="AY305" s="111"/>
      <c r="AZ305" s="111"/>
      <c r="BA305" s="111">
        <f t="shared" si="116"/>
        <v>0</v>
      </c>
      <c r="BB305" s="111"/>
      <c r="BC305" s="111"/>
      <c r="BD305" s="111"/>
      <c r="BE305" s="111"/>
      <c r="BF305" s="111"/>
      <c r="BG305" s="111"/>
      <c r="BH305" s="111">
        <f t="shared" si="114"/>
        <v>0</v>
      </c>
      <c r="BI305" s="111"/>
      <c r="BJ305" s="112">
        <v>60665606.590000004</v>
      </c>
      <c r="BK305" s="112"/>
      <c r="BL305" s="112"/>
      <c r="BM305" s="113"/>
      <c r="BN305" s="112">
        <f>AI305/7.75%/0.9/7*12</f>
        <v>61759418.494623646</v>
      </c>
      <c r="BO305" s="112"/>
      <c r="BP305" s="112"/>
      <c r="BQ305" s="114">
        <f t="shared" si="107"/>
        <v>-1093811.9046236426</v>
      </c>
      <c r="BR305" s="114">
        <f t="shared" si="104"/>
        <v>7572703.3225192167</v>
      </c>
      <c r="BS305" s="98"/>
      <c r="BT305" s="98"/>
      <c r="BU305" s="98"/>
      <c r="BV305" s="115">
        <f t="shared" si="105"/>
        <v>0</v>
      </c>
      <c r="BW305" s="115"/>
      <c r="BX305" s="116">
        <f t="shared" si="119"/>
        <v>0</v>
      </c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>
        <v>0</v>
      </c>
      <c r="CL305" s="116"/>
      <c r="CM305" s="117"/>
    </row>
    <row r="306" spans="1:92" s="118" customFormat="1" ht="25.5" x14ac:dyDescent="0.2">
      <c r="B306" s="99">
        <f t="shared" si="115"/>
        <v>283</v>
      </c>
      <c r="C306" s="100" t="s">
        <v>508</v>
      </c>
      <c r="D306" s="101" t="s">
        <v>509</v>
      </c>
      <c r="E306" s="100" t="s">
        <v>151</v>
      </c>
      <c r="F306" s="100" t="s">
        <v>134</v>
      </c>
      <c r="G306" s="103">
        <v>43678</v>
      </c>
      <c r="H306" s="103">
        <v>43678</v>
      </c>
      <c r="I306" s="104">
        <v>100000000</v>
      </c>
      <c r="J306" s="105">
        <v>7.7499999999999999E-2</v>
      </c>
      <c r="K306" s="105">
        <v>7.4999999999999997E-2</v>
      </c>
      <c r="L306" s="106">
        <v>0.9</v>
      </c>
      <c r="M306" s="107">
        <v>4</v>
      </c>
      <c r="N306" s="107"/>
      <c r="O306" s="106">
        <v>12</v>
      </c>
      <c r="P306" s="107">
        <f t="shared" si="110"/>
        <v>2325000</v>
      </c>
      <c r="Q306" s="107">
        <f t="shared" si="111"/>
        <v>60665606.589831896</v>
      </c>
      <c r="R306" s="107">
        <f t="shared" si="112"/>
        <v>1410475.3532135915</v>
      </c>
      <c r="S306" s="107">
        <f t="shared" si="113"/>
        <v>914524.6467864085</v>
      </c>
      <c r="T306" s="108">
        <v>0.606656065898319</v>
      </c>
      <c r="U306" s="107"/>
      <c r="V306" s="106"/>
      <c r="W306" s="107">
        <f t="shared" si="108"/>
        <v>60665606.589831896</v>
      </c>
      <c r="X306" s="107">
        <f t="shared" si="108"/>
        <v>1410475.3532135915</v>
      </c>
      <c r="Y306" s="109">
        <f t="shared" si="109"/>
        <v>60665606.589831896</v>
      </c>
      <c r="Z306" s="109">
        <f t="shared" si="109"/>
        <v>1410475.3532135915</v>
      </c>
      <c r="AA306" s="109"/>
      <c r="AB306" s="109"/>
      <c r="AC306" s="109">
        <f>BJ306*7.75/100*0.9*8/12</f>
        <v>273135.6354412146</v>
      </c>
      <c r="AD306" s="110"/>
      <c r="AE306" s="110">
        <f t="shared" si="92"/>
        <v>5221230.7850172445</v>
      </c>
      <c r="AF306" s="110"/>
      <c r="AG306" s="111"/>
      <c r="AH306" s="111"/>
      <c r="AI306" s="111"/>
      <c r="AJ306" s="111"/>
      <c r="AK306" s="111"/>
      <c r="AL306" s="227">
        <f t="shared" si="106"/>
        <v>273135.6354412146</v>
      </c>
      <c r="AM306" s="227"/>
      <c r="AN306" s="227"/>
      <c r="AO306" s="227"/>
      <c r="AP306" s="111">
        <v>0</v>
      </c>
      <c r="AQ306" s="111"/>
      <c r="AR306" s="111">
        <f t="shared" si="117"/>
        <v>0</v>
      </c>
      <c r="AS306" s="111"/>
      <c r="AT306" s="111">
        <v>0</v>
      </c>
      <c r="AU306" s="111">
        <f t="shared" si="124"/>
        <v>0</v>
      </c>
      <c r="AV306" s="111"/>
      <c r="AW306" s="111"/>
      <c r="AX306" s="111"/>
      <c r="AY306" s="111"/>
      <c r="AZ306" s="111"/>
      <c r="BA306" s="111">
        <f t="shared" si="116"/>
        <v>0</v>
      </c>
      <c r="BB306" s="111"/>
      <c r="BC306" s="111"/>
      <c r="BD306" s="111"/>
      <c r="BE306" s="111"/>
      <c r="BF306" s="111"/>
      <c r="BG306" s="111"/>
      <c r="BH306" s="111">
        <f t="shared" si="114"/>
        <v>0</v>
      </c>
      <c r="BI306" s="111"/>
      <c r="BJ306" s="112">
        <f>100000000-BJ304-BJ305</f>
        <v>5873884.633144401</v>
      </c>
      <c r="BK306" s="112"/>
      <c r="BL306" s="112"/>
      <c r="BM306" s="113"/>
      <c r="BN306" s="113"/>
      <c r="BO306" s="113"/>
      <c r="BP306" s="113"/>
      <c r="BQ306" s="114">
        <f t="shared" si="107"/>
        <v>5873884.633144401</v>
      </c>
      <c r="BR306" s="114">
        <f t="shared" si="104"/>
        <v>6713011.0093078855</v>
      </c>
      <c r="BS306" s="98"/>
      <c r="BT306" s="98"/>
      <c r="BU306" s="98"/>
      <c r="BV306" s="115">
        <f t="shared" si="105"/>
        <v>0</v>
      </c>
      <c r="BW306" s="115"/>
      <c r="BX306" s="116">
        <f t="shared" si="119"/>
        <v>0</v>
      </c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>
        <v>0</v>
      </c>
      <c r="CL306" s="116"/>
      <c r="CM306" s="117"/>
    </row>
    <row r="307" spans="1:92" s="118" customFormat="1" ht="25.5" x14ac:dyDescent="0.2">
      <c r="B307" s="99">
        <f t="shared" si="115"/>
        <v>284</v>
      </c>
      <c r="C307" s="100" t="s">
        <v>508</v>
      </c>
      <c r="D307" s="101" t="s">
        <v>509</v>
      </c>
      <c r="E307" s="100" t="s">
        <v>151</v>
      </c>
      <c r="F307" s="100" t="s">
        <v>134</v>
      </c>
      <c r="G307" s="103">
        <v>43709</v>
      </c>
      <c r="H307" s="103">
        <v>43709</v>
      </c>
      <c r="I307" s="104">
        <v>100000000</v>
      </c>
      <c r="J307" s="105">
        <v>7.7499999999999999E-2</v>
      </c>
      <c r="K307" s="105">
        <v>7.4999999999999997E-2</v>
      </c>
      <c r="L307" s="106">
        <v>0.9</v>
      </c>
      <c r="M307" s="107">
        <v>3</v>
      </c>
      <c r="N307" s="107"/>
      <c r="O307" s="106">
        <v>12</v>
      </c>
      <c r="P307" s="107">
        <f t="shared" si="110"/>
        <v>1743750</v>
      </c>
      <c r="Q307" s="107">
        <f t="shared" si="111"/>
        <v>60665606.589831896</v>
      </c>
      <c r="R307" s="107">
        <f t="shared" si="112"/>
        <v>1057856.5149101936</v>
      </c>
      <c r="S307" s="107">
        <f t="shared" si="113"/>
        <v>685893.48508980637</v>
      </c>
      <c r="T307" s="108">
        <v>0.606656065898319</v>
      </c>
      <c r="U307" s="107"/>
      <c r="V307" s="106"/>
      <c r="W307" s="107">
        <f t="shared" si="108"/>
        <v>60665606.589831896</v>
      </c>
      <c r="X307" s="107">
        <f t="shared" si="108"/>
        <v>1057856.5149101936</v>
      </c>
      <c r="Y307" s="109">
        <f t="shared" si="109"/>
        <v>60665606.589831896</v>
      </c>
      <c r="Z307" s="109">
        <f t="shared" si="109"/>
        <v>1057856.5149101936</v>
      </c>
      <c r="AA307" s="109"/>
      <c r="AB307" s="109"/>
      <c r="AC307" s="109"/>
      <c r="AD307" s="110"/>
      <c r="AE307" s="110"/>
      <c r="AF307" s="110"/>
      <c r="AG307" s="111"/>
      <c r="AH307" s="111"/>
      <c r="AI307" s="111"/>
      <c r="AJ307" s="111"/>
      <c r="AK307" s="111"/>
      <c r="AL307" s="111">
        <f t="shared" si="106"/>
        <v>0</v>
      </c>
      <c r="AM307" s="111"/>
      <c r="AN307" s="111"/>
      <c r="AO307" s="111"/>
      <c r="AP307" s="111">
        <f t="shared" si="103"/>
        <v>0</v>
      </c>
      <c r="AQ307" s="111"/>
      <c r="AR307" s="111">
        <f t="shared" si="117"/>
        <v>0</v>
      </c>
      <c r="AS307" s="111"/>
      <c r="AT307" s="111">
        <v>0</v>
      </c>
      <c r="AU307" s="111">
        <f t="shared" si="124"/>
        <v>0</v>
      </c>
      <c r="AV307" s="111"/>
      <c r="AW307" s="111"/>
      <c r="AX307" s="111"/>
      <c r="AY307" s="111"/>
      <c r="AZ307" s="111"/>
      <c r="BA307" s="111">
        <f t="shared" si="116"/>
        <v>0</v>
      </c>
      <c r="BB307" s="111"/>
      <c r="BC307" s="111"/>
      <c r="BD307" s="111"/>
      <c r="BE307" s="111"/>
      <c r="BF307" s="111"/>
      <c r="BG307" s="111"/>
      <c r="BH307" s="111">
        <f t="shared" si="114"/>
        <v>0</v>
      </c>
      <c r="BI307" s="111"/>
      <c r="BJ307" s="112"/>
      <c r="BK307" s="112"/>
      <c r="BL307" s="112"/>
      <c r="BM307" s="113"/>
      <c r="BN307" s="113"/>
      <c r="BO307" s="113"/>
      <c r="BP307" s="113"/>
      <c r="BQ307" s="114">
        <f t="shared" si="107"/>
        <v>0</v>
      </c>
      <c r="BR307" s="114">
        <f t="shared" si="104"/>
        <v>0</v>
      </c>
      <c r="BS307" s="98"/>
      <c r="BT307" s="98"/>
      <c r="BU307" s="98"/>
      <c r="BV307" s="115">
        <f t="shared" si="105"/>
        <v>0</v>
      </c>
      <c r="BW307" s="115"/>
      <c r="BX307" s="116">
        <f t="shared" si="119"/>
        <v>0</v>
      </c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>
        <v>0</v>
      </c>
      <c r="CL307" s="116"/>
      <c r="CM307" s="117"/>
    </row>
    <row r="308" spans="1:92" s="118" customFormat="1" ht="25.5" x14ac:dyDescent="0.2">
      <c r="B308" s="99">
        <f t="shared" si="115"/>
        <v>285</v>
      </c>
      <c r="C308" s="100" t="s">
        <v>508</v>
      </c>
      <c r="D308" s="101" t="s">
        <v>509</v>
      </c>
      <c r="E308" s="100" t="s">
        <v>151</v>
      </c>
      <c r="F308" s="100" t="s">
        <v>134</v>
      </c>
      <c r="G308" s="103">
        <v>43709</v>
      </c>
      <c r="H308" s="103">
        <v>43709</v>
      </c>
      <c r="I308" s="104">
        <v>100000000</v>
      </c>
      <c r="J308" s="105">
        <v>7.7499999999999999E-2</v>
      </c>
      <c r="K308" s="105">
        <v>7.4999999999999997E-2</v>
      </c>
      <c r="L308" s="106">
        <v>0.9</v>
      </c>
      <c r="M308" s="107">
        <v>3</v>
      </c>
      <c r="N308" s="107"/>
      <c r="O308" s="106">
        <v>12</v>
      </c>
      <c r="P308" s="107">
        <f t="shared" si="110"/>
        <v>1743750</v>
      </c>
      <c r="Q308" s="107">
        <f t="shared" si="111"/>
        <v>60665606.589831896</v>
      </c>
      <c r="R308" s="107">
        <f t="shared" si="112"/>
        <v>1057856.5149101936</v>
      </c>
      <c r="S308" s="107">
        <f t="shared" si="113"/>
        <v>685893.48508980637</v>
      </c>
      <c r="T308" s="108">
        <v>0.606656065898319</v>
      </c>
      <c r="U308" s="107"/>
      <c r="V308" s="106"/>
      <c r="W308" s="107">
        <f t="shared" si="108"/>
        <v>60665606.589831896</v>
      </c>
      <c r="X308" s="107">
        <f t="shared" si="108"/>
        <v>1057856.5149101936</v>
      </c>
      <c r="Y308" s="109">
        <f t="shared" si="109"/>
        <v>60665606.589831896</v>
      </c>
      <c r="Z308" s="109">
        <f t="shared" si="109"/>
        <v>1057856.5149101936</v>
      </c>
      <c r="AA308" s="109"/>
      <c r="AB308" s="109"/>
      <c r="AC308" s="109"/>
      <c r="AD308" s="110"/>
      <c r="AE308" s="110"/>
      <c r="AF308" s="110"/>
      <c r="AG308" s="111"/>
      <c r="AH308" s="111"/>
      <c r="AI308" s="111"/>
      <c r="AJ308" s="111"/>
      <c r="AK308" s="111"/>
      <c r="AL308" s="111">
        <f t="shared" si="106"/>
        <v>0</v>
      </c>
      <c r="AM308" s="111"/>
      <c r="AN308" s="111"/>
      <c r="AO308" s="111"/>
      <c r="AP308" s="111">
        <f t="shared" si="103"/>
        <v>0</v>
      </c>
      <c r="AQ308" s="111"/>
      <c r="AR308" s="111">
        <f t="shared" si="117"/>
        <v>0</v>
      </c>
      <c r="AS308" s="111"/>
      <c r="AT308" s="111">
        <v>0</v>
      </c>
      <c r="AU308" s="111">
        <f t="shared" si="124"/>
        <v>0</v>
      </c>
      <c r="AV308" s="111"/>
      <c r="AW308" s="111"/>
      <c r="AX308" s="111"/>
      <c r="AY308" s="111"/>
      <c r="AZ308" s="111"/>
      <c r="BA308" s="111">
        <f t="shared" si="116"/>
        <v>0</v>
      </c>
      <c r="BB308" s="111"/>
      <c r="BC308" s="111"/>
      <c r="BD308" s="111"/>
      <c r="BE308" s="111"/>
      <c r="BF308" s="111"/>
      <c r="BG308" s="111"/>
      <c r="BH308" s="111">
        <f t="shared" si="114"/>
        <v>0</v>
      </c>
      <c r="BI308" s="111"/>
      <c r="BJ308" s="112"/>
      <c r="BK308" s="112"/>
      <c r="BL308" s="112"/>
      <c r="BM308" s="113"/>
      <c r="BN308" s="113"/>
      <c r="BO308" s="113"/>
      <c r="BP308" s="113"/>
      <c r="BQ308" s="114">
        <f t="shared" si="107"/>
        <v>0</v>
      </c>
      <c r="BR308" s="114">
        <f t="shared" si="104"/>
        <v>0</v>
      </c>
      <c r="BS308" s="98"/>
      <c r="BT308" s="98"/>
      <c r="BU308" s="98"/>
      <c r="BV308" s="115">
        <f t="shared" si="105"/>
        <v>0</v>
      </c>
      <c r="BW308" s="115"/>
      <c r="BX308" s="116">
        <f t="shared" si="119"/>
        <v>0</v>
      </c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>
        <v>0</v>
      </c>
      <c r="CL308" s="116"/>
      <c r="CM308" s="117"/>
    </row>
    <row r="309" spans="1:92" s="118" customFormat="1" ht="25.5" x14ac:dyDescent="0.2">
      <c r="B309" s="99">
        <f t="shared" si="115"/>
        <v>286</v>
      </c>
      <c r="C309" s="100" t="s">
        <v>508</v>
      </c>
      <c r="D309" s="101" t="s">
        <v>509</v>
      </c>
      <c r="E309" s="100" t="s">
        <v>151</v>
      </c>
      <c r="F309" s="100" t="s">
        <v>134</v>
      </c>
      <c r="G309" s="103">
        <v>43770</v>
      </c>
      <c r="H309" s="103">
        <v>43770</v>
      </c>
      <c r="I309" s="104">
        <v>100000000</v>
      </c>
      <c r="J309" s="105">
        <v>7.7499999999999999E-2</v>
      </c>
      <c r="K309" s="105">
        <v>7.4999999999999997E-2</v>
      </c>
      <c r="L309" s="106">
        <v>0.9</v>
      </c>
      <c r="M309" s="107">
        <v>1</v>
      </c>
      <c r="N309" s="107"/>
      <c r="O309" s="106">
        <v>12</v>
      </c>
      <c r="P309" s="107">
        <f t="shared" si="110"/>
        <v>581250</v>
      </c>
      <c r="Q309" s="107">
        <f t="shared" si="111"/>
        <v>60665606.589831896</v>
      </c>
      <c r="R309" s="107">
        <f t="shared" si="112"/>
        <v>352618.83830339788</v>
      </c>
      <c r="S309" s="107">
        <f t="shared" si="113"/>
        <v>228631.16169660212</v>
      </c>
      <c r="T309" s="108">
        <v>0.606656065898319</v>
      </c>
      <c r="U309" s="107"/>
      <c r="V309" s="106"/>
      <c r="W309" s="107">
        <f t="shared" si="108"/>
        <v>60665606.589831896</v>
      </c>
      <c r="X309" s="107">
        <f t="shared" si="108"/>
        <v>352618.83830339788</v>
      </c>
      <c r="Y309" s="109">
        <f t="shared" si="109"/>
        <v>60665606.589831896</v>
      </c>
      <c r="Z309" s="109">
        <f t="shared" si="109"/>
        <v>352618.83830339788</v>
      </c>
      <c r="AA309" s="109"/>
      <c r="AB309" s="109"/>
      <c r="AC309" s="109"/>
      <c r="AD309" s="110"/>
      <c r="AE309" s="110"/>
      <c r="AF309" s="110"/>
      <c r="AG309" s="111"/>
      <c r="AH309" s="111"/>
      <c r="AI309" s="111"/>
      <c r="AJ309" s="111"/>
      <c r="AK309" s="111"/>
      <c r="AL309" s="111">
        <f t="shared" si="106"/>
        <v>0</v>
      </c>
      <c r="AM309" s="111"/>
      <c r="AN309" s="111"/>
      <c r="AO309" s="111"/>
      <c r="AP309" s="111">
        <f t="shared" si="103"/>
        <v>0</v>
      </c>
      <c r="AQ309" s="111"/>
      <c r="AR309" s="111">
        <f t="shared" si="117"/>
        <v>0</v>
      </c>
      <c r="AS309" s="111"/>
      <c r="AT309" s="111">
        <v>0</v>
      </c>
      <c r="AU309" s="111">
        <f t="shared" si="124"/>
        <v>0</v>
      </c>
      <c r="AV309" s="111"/>
      <c r="AW309" s="111"/>
      <c r="AX309" s="111"/>
      <c r="AY309" s="111"/>
      <c r="AZ309" s="111"/>
      <c r="BA309" s="111">
        <f t="shared" si="116"/>
        <v>0</v>
      </c>
      <c r="BB309" s="111"/>
      <c r="BC309" s="111"/>
      <c r="BD309" s="111"/>
      <c r="BE309" s="111"/>
      <c r="BF309" s="111"/>
      <c r="BG309" s="111"/>
      <c r="BH309" s="111">
        <f t="shared" si="114"/>
        <v>0</v>
      </c>
      <c r="BI309" s="111"/>
      <c r="BJ309" s="112"/>
      <c r="BK309" s="112"/>
      <c r="BL309" s="112"/>
      <c r="BM309" s="113"/>
      <c r="BN309" s="113"/>
      <c r="BO309" s="113"/>
      <c r="BP309" s="113"/>
      <c r="BQ309" s="114">
        <f t="shared" si="107"/>
        <v>0</v>
      </c>
      <c r="BR309" s="114">
        <f t="shared" si="104"/>
        <v>0</v>
      </c>
      <c r="BS309" s="98"/>
      <c r="BT309" s="98"/>
      <c r="BU309" s="98"/>
      <c r="BV309" s="115">
        <f t="shared" si="105"/>
        <v>0</v>
      </c>
      <c r="BW309" s="115"/>
      <c r="BX309" s="116">
        <f t="shared" si="119"/>
        <v>0</v>
      </c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>
        <v>0</v>
      </c>
      <c r="CL309" s="116"/>
      <c r="CM309" s="117"/>
    </row>
    <row r="310" spans="1:92" s="118" customFormat="1" ht="25.5" x14ac:dyDescent="0.2">
      <c r="B310" s="99">
        <f t="shared" si="115"/>
        <v>287</v>
      </c>
      <c r="C310" s="100" t="s">
        <v>508</v>
      </c>
      <c r="D310" s="101" t="s">
        <v>509</v>
      </c>
      <c r="E310" s="100" t="s">
        <v>151</v>
      </c>
      <c r="F310" s="100" t="s">
        <v>134</v>
      </c>
      <c r="G310" s="103">
        <v>43800</v>
      </c>
      <c r="H310" s="103">
        <v>43800</v>
      </c>
      <c r="I310" s="104">
        <v>100000000</v>
      </c>
      <c r="J310" s="105">
        <v>7.7499999999999999E-2</v>
      </c>
      <c r="K310" s="105">
        <v>7.4999999999999997E-2</v>
      </c>
      <c r="L310" s="106">
        <v>0.9</v>
      </c>
      <c r="M310" s="107">
        <v>0</v>
      </c>
      <c r="N310" s="107"/>
      <c r="O310" s="106">
        <v>12</v>
      </c>
      <c r="P310" s="107">
        <f t="shared" si="110"/>
        <v>0</v>
      </c>
      <c r="Q310" s="107">
        <f t="shared" si="111"/>
        <v>60665606.589831896</v>
      </c>
      <c r="R310" s="107">
        <f t="shared" si="112"/>
        <v>0</v>
      </c>
      <c r="S310" s="107">
        <f t="shared" si="113"/>
        <v>0</v>
      </c>
      <c r="T310" s="108">
        <v>0.606656065898319</v>
      </c>
      <c r="U310" s="107"/>
      <c r="V310" s="106"/>
      <c r="W310" s="107">
        <f t="shared" si="108"/>
        <v>60665606.589831896</v>
      </c>
      <c r="X310" s="107">
        <f t="shared" si="108"/>
        <v>0</v>
      </c>
      <c r="Y310" s="109">
        <f t="shared" si="109"/>
        <v>60665606.589831896</v>
      </c>
      <c r="Z310" s="109">
        <f t="shared" si="109"/>
        <v>0</v>
      </c>
      <c r="AA310" s="109"/>
      <c r="AB310" s="109"/>
      <c r="AC310" s="109">
        <f t="shared" si="120"/>
        <v>0</v>
      </c>
      <c r="AD310" s="110">
        <v>0</v>
      </c>
      <c r="AE310" s="110">
        <f t="shared" ref="AE310:AE326" si="127">AC310/J310/L310/9*O310</f>
        <v>0</v>
      </c>
      <c r="AF310" s="110"/>
      <c r="AG310" s="111"/>
      <c r="AH310" s="111"/>
      <c r="AI310" s="111"/>
      <c r="AJ310" s="111"/>
      <c r="AK310" s="111"/>
      <c r="AL310" s="111">
        <f t="shared" si="106"/>
        <v>0</v>
      </c>
      <c r="AM310" s="111"/>
      <c r="AN310" s="111"/>
      <c r="AO310" s="111"/>
      <c r="AP310" s="111">
        <f t="shared" si="103"/>
        <v>0</v>
      </c>
      <c r="AQ310" s="111"/>
      <c r="AR310" s="111">
        <f t="shared" si="117"/>
        <v>0</v>
      </c>
      <c r="AS310" s="111"/>
      <c r="AT310" s="111">
        <v>0</v>
      </c>
      <c r="AU310" s="111">
        <f t="shared" si="124"/>
        <v>0</v>
      </c>
      <c r="AV310" s="111"/>
      <c r="AW310" s="111"/>
      <c r="AX310" s="111"/>
      <c r="AY310" s="111"/>
      <c r="AZ310" s="111"/>
      <c r="BA310" s="111">
        <f t="shared" si="116"/>
        <v>0</v>
      </c>
      <c r="BB310" s="111"/>
      <c r="BC310" s="111"/>
      <c r="BD310" s="111"/>
      <c r="BE310" s="111"/>
      <c r="BF310" s="111"/>
      <c r="BG310" s="111"/>
      <c r="BH310" s="111">
        <f t="shared" si="114"/>
        <v>0</v>
      </c>
      <c r="BI310" s="111"/>
      <c r="BJ310" s="112">
        <f t="shared" si="96"/>
        <v>0</v>
      </c>
      <c r="BK310" s="112"/>
      <c r="BL310" s="112"/>
      <c r="BM310" s="113"/>
      <c r="BN310" s="113"/>
      <c r="BO310" s="113"/>
      <c r="BP310" s="113"/>
      <c r="BQ310" s="114">
        <f t="shared" si="107"/>
        <v>0</v>
      </c>
      <c r="BR310" s="114">
        <f t="shared" si="104"/>
        <v>0</v>
      </c>
      <c r="BS310" s="98"/>
      <c r="BT310" s="98"/>
      <c r="BU310" s="98"/>
      <c r="BV310" s="115">
        <f t="shared" si="105"/>
        <v>0</v>
      </c>
      <c r="BW310" s="115"/>
      <c r="BX310" s="116">
        <f t="shared" si="119"/>
        <v>0</v>
      </c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>
        <v>0</v>
      </c>
      <c r="CL310" s="116"/>
      <c r="CM310" s="117"/>
    </row>
    <row r="311" spans="1:92" s="118" customFormat="1" ht="25.5" x14ac:dyDescent="0.2">
      <c r="B311" s="99">
        <f t="shared" si="115"/>
        <v>288</v>
      </c>
      <c r="C311" s="100" t="s">
        <v>508</v>
      </c>
      <c r="D311" s="101" t="s">
        <v>509</v>
      </c>
      <c r="E311" s="100" t="s">
        <v>151</v>
      </c>
      <c r="F311" s="100" t="s">
        <v>134</v>
      </c>
      <c r="G311" s="103">
        <v>43800</v>
      </c>
      <c r="H311" s="103">
        <v>43800</v>
      </c>
      <c r="I311" s="104">
        <v>100000000</v>
      </c>
      <c r="J311" s="105">
        <v>7.7499999999999999E-2</v>
      </c>
      <c r="K311" s="105">
        <v>7.4999999999999997E-2</v>
      </c>
      <c r="L311" s="106">
        <v>0.9</v>
      </c>
      <c r="M311" s="107">
        <v>0</v>
      </c>
      <c r="N311" s="107"/>
      <c r="O311" s="106">
        <v>12</v>
      </c>
      <c r="P311" s="107">
        <f t="shared" si="110"/>
        <v>0</v>
      </c>
      <c r="Q311" s="107">
        <f t="shared" si="111"/>
        <v>60665606.589831896</v>
      </c>
      <c r="R311" s="107">
        <f t="shared" si="112"/>
        <v>0</v>
      </c>
      <c r="S311" s="107">
        <f t="shared" si="113"/>
        <v>0</v>
      </c>
      <c r="T311" s="108">
        <v>0.606656065898319</v>
      </c>
      <c r="U311" s="107"/>
      <c r="V311" s="106"/>
      <c r="W311" s="107">
        <f t="shared" si="108"/>
        <v>60665606.589831896</v>
      </c>
      <c r="X311" s="107">
        <f t="shared" si="108"/>
        <v>0</v>
      </c>
      <c r="Y311" s="109">
        <f t="shared" si="109"/>
        <v>60665606.589831896</v>
      </c>
      <c r="Z311" s="109">
        <f t="shared" si="109"/>
        <v>0</v>
      </c>
      <c r="AA311" s="109"/>
      <c r="AB311" s="109"/>
      <c r="AC311" s="109">
        <f t="shared" si="120"/>
        <v>0</v>
      </c>
      <c r="AD311" s="110">
        <v>0</v>
      </c>
      <c r="AE311" s="110">
        <f t="shared" si="127"/>
        <v>0</v>
      </c>
      <c r="AF311" s="110"/>
      <c r="AG311" s="111"/>
      <c r="AH311" s="111"/>
      <c r="AI311" s="111"/>
      <c r="AJ311" s="111"/>
      <c r="AK311" s="111"/>
      <c r="AL311" s="111">
        <f t="shared" si="106"/>
        <v>0</v>
      </c>
      <c r="AM311" s="111"/>
      <c r="AN311" s="111"/>
      <c r="AO311" s="111"/>
      <c r="AP311" s="111">
        <f t="shared" si="103"/>
        <v>0</v>
      </c>
      <c r="AQ311" s="111"/>
      <c r="AR311" s="111">
        <f t="shared" si="117"/>
        <v>0</v>
      </c>
      <c r="AS311" s="111"/>
      <c r="AT311" s="111">
        <v>0</v>
      </c>
      <c r="AU311" s="111">
        <f t="shared" si="124"/>
        <v>0</v>
      </c>
      <c r="AV311" s="111"/>
      <c r="AW311" s="111"/>
      <c r="AX311" s="111"/>
      <c r="AY311" s="111"/>
      <c r="AZ311" s="111"/>
      <c r="BA311" s="111">
        <f t="shared" si="116"/>
        <v>0</v>
      </c>
      <c r="BB311" s="111"/>
      <c r="BC311" s="111"/>
      <c r="BD311" s="111"/>
      <c r="BE311" s="111"/>
      <c r="BF311" s="111"/>
      <c r="BG311" s="111"/>
      <c r="BH311" s="111">
        <f t="shared" si="114"/>
        <v>0</v>
      </c>
      <c r="BI311" s="111"/>
      <c r="BJ311" s="112">
        <f t="shared" si="96"/>
        <v>0</v>
      </c>
      <c r="BK311" s="112"/>
      <c r="BL311" s="112"/>
      <c r="BM311" s="113"/>
      <c r="BN311" s="113"/>
      <c r="BO311" s="113"/>
      <c r="BP311" s="113"/>
      <c r="BQ311" s="114">
        <f t="shared" si="107"/>
        <v>0</v>
      </c>
      <c r="BR311" s="114">
        <f t="shared" si="104"/>
        <v>0</v>
      </c>
      <c r="BS311" s="98"/>
      <c r="BT311" s="98"/>
      <c r="BU311" s="98"/>
      <c r="BV311" s="115">
        <f t="shared" si="105"/>
        <v>0</v>
      </c>
      <c r="BW311" s="115"/>
      <c r="BX311" s="116">
        <f t="shared" si="119"/>
        <v>0</v>
      </c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>
        <v>0</v>
      </c>
      <c r="CL311" s="116"/>
      <c r="CM311" s="117"/>
    </row>
    <row r="312" spans="1:92" s="120" customFormat="1" ht="38.25" x14ac:dyDescent="0.2">
      <c r="A312" s="120">
        <f>A298+1</f>
        <v>155</v>
      </c>
      <c r="B312" s="99">
        <f t="shared" si="115"/>
        <v>289</v>
      </c>
      <c r="C312" s="122" t="s">
        <v>511</v>
      </c>
      <c r="D312" s="123" t="s">
        <v>512</v>
      </c>
      <c r="E312" s="122" t="s">
        <v>151</v>
      </c>
      <c r="F312" s="100" t="s">
        <v>134</v>
      </c>
      <c r="G312" s="124">
        <v>43497</v>
      </c>
      <c r="H312" s="124">
        <v>43497</v>
      </c>
      <c r="I312" s="125">
        <v>20000000</v>
      </c>
      <c r="J312" s="126">
        <v>7.7499999999999999E-2</v>
      </c>
      <c r="K312" s="105">
        <v>7.4999999999999997E-2</v>
      </c>
      <c r="L312" s="127">
        <v>0.9</v>
      </c>
      <c r="M312" s="128">
        <v>10</v>
      </c>
      <c r="N312" s="128"/>
      <c r="O312" s="127">
        <v>12</v>
      </c>
      <c r="P312" s="128">
        <f t="shared" si="110"/>
        <v>1162500</v>
      </c>
      <c r="Q312" s="128">
        <f t="shared" si="111"/>
        <v>12133121.317966379</v>
      </c>
      <c r="R312" s="128">
        <f t="shared" si="112"/>
        <v>705237.67660679575</v>
      </c>
      <c r="S312" s="128">
        <f t="shared" si="113"/>
        <v>457262.32339320425</v>
      </c>
      <c r="T312" s="129">
        <v>0.606656065898319</v>
      </c>
      <c r="U312" s="128"/>
      <c r="V312" s="127"/>
      <c r="W312" s="128">
        <f t="shared" si="108"/>
        <v>12133121.317966379</v>
      </c>
      <c r="X312" s="128">
        <f t="shared" si="108"/>
        <v>705237.67660679575</v>
      </c>
      <c r="Y312" s="130">
        <f t="shared" si="109"/>
        <v>12133121.317966379</v>
      </c>
      <c r="Z312" s="130">
        <f t="shared" si="109"/>
        <v>705237.67660679575</v>
      </c>
      <c r="AA312" s="130">
        <f>2665787.67-AA314-AA315-479550.87</f>
        <v>705237.67999999982</v>
      </c>
      <c r="AB312" s="130"/>
      <c r="AC312" s="130">
        <f t="shared" si="120"/>
        <v>-3.3932040678337216E-3</v>
      </c>
      <c r="AD312" s="131">
        <v>7632326.2603403106</v>
      </c>
      <c r="AE312" s="131">
        <f t="shared" si="127"/>
        <v>-6.4864115992042476E-2</v>
      </c>
      <c r="AF312" s="131"/>
      <c r="AG312" s="132"/>
      <c r="AH312" s="132"/>
      <c r="AI312" s="132"/>
      <c r="AJ312" s="132"/>
      <c r="AK312" s="132"/>
      <c r="AL312" s="111">
        <f t="shared" si="106"/>
        <v>-3.3932040678337216E-3</v>
      </c>
      <c r="AM312" s="111"/>
      <c r="AN312" s="111"/>
      <c r="AO312" s="111"/>
      <c r="AP312" s="111">
        <f t="shared" si="103"/>
        <v>-3.3932040678337216E-3</v>
      </c>
      <c r="AQ312" s="111"/>
      <c r="AR312" s="111">
        <f t="shared" si="117"/>
        <v>-3.3932040678337216E-3</v>
      </c>
      <c r="AS312" s="111"/>
      <c r="AT312" s="111">
        <v>0</v>
      </c>
      <c r="AU312" s="111">
        <f t="shared" si="124"/>
        <v>-3.3932040678337216E-3</v>
      </c>
      <c r="AV312" s="111"/>
      <c r="AW312" s="111"/>
      <c r="AX312" s="111"/>
      <c r="AY312" s="111"/>
      <c r="AZ312" s="111"/>
      <c r="BA312" s="111">
        <f t="shared" si="116"/>
        <v>0</v>
      </c>
      <c r="BB312" s="111"/>
      <c r="BC312" s="111"/>
      <c r="BD312" s="111"/>
      <c r="BE312" s="111"/>
      <c r="BF312" s="111"/>
      <c r="BG312" s="111"/>
      <c r="BH312" s="111">
        <f t="shared" si="114"/>
        <v>0</v>
      </c>
      <c r="BI312" s="111"/>
      <c r="BJ312" s="133">
        <f t="shared" si="96"/>
        <v>-7.2972130491047782E-2</v>
      </c>
      <c r="BK312" s="134"/>
      <c r="BL312" s="134"/>
      <c r="BM312" s="135"/>
      <c r="BN312" s="135"/>
      <c r="BO312" s="135"/>
      <c r="BP312" s="135"/>
      <c r="BQ312" s="114">
        <f t="shared" si="107"/>
        <v>-7.2972130491047782E-2</v>
      </c>
      <c r="BR312" s="114">
        <f t="shared" si="104"/>
        <v>-8.3396720561197457E-2</v>
      </c>
      <c r="BS312" s="136"/>
      <c r="BT312" s="136"/>
      <c r="BU312" s="136"/>
      <c r="BV312" s="115">
        <f t="shared" si="105"/>
        <v>-9.72961739880637E-2</v>
      </c>
      <c r="BW312" s="115"/>
      <c r="BX312" s="116">
        <f t="shared" si="119"/>
        <v>-0.15080906968149876</v>
      </c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>
        <v>0</v>
      </c>
      <c r="CL312" s="116"/>
      <c r="CM312" s="119"/>
    </row>
    <row r="313" spans="1:92" s="118" customFormat="1" ht="38.25" x14ac:dyDescent="0.2">
      <c r="B313" s="99">
        <f t="shared" si="115"/>
        <v>290</v>
      </c>
      <c r="C313" s="100" t="s">
        <v>511</v>
      </c>
      <c r="D313" s="101" t="s">
        <v>512</v>
      </c>
      <c r="E313" s="100" t="s">
        <v>95</v>
      </c>
      <c r="F313" s="100" t="s">
        <v>134</v>
      </c>
      <c r="G313" s="103">
        <v>43497</v>
      </c>
      <c r="H313" s="103" t="s">
        <v>510</v>
      </c>
      <c r="I313" s="104">
        <v>10000000</v>
      </c>
      <c r="J313" s="105">
        <v>7.7499999999999999E-2</v>
      </c>
      <c r="K313" s="105">
        <v>7.4999999999999997E-2</v>
      </c>
      <c r="L313" s="106">
        <v>0.9</v>
      </c>
      <c r="M313" s="107">
        <v>10</v>
      </c>
      <c r="N313" s="107">
        <v>1</v>
      </c>
      <c r="O313" s="106">
        <v>12</v>
      </c>
      <c r="P313" s="107">
        <f t="shared" si="110"/>
        <v>581250</v>
      </c>
      <c r="Q313" s="107">
        <f t="shared" si="111"/>
        <v>6066560.6589831896</v>
      </c>
      <c r="R313" s="107">
        <f t="shared" si="112"/>
        <v>352618.83830339788</v>
      </c>
      <c r="S313" s="107">
        <f t="shared" si="113"/>
        <v>228631.16169660212</v>
      </c>
      <c r="T313" s="108">
        <v>0.606656065898319</v>
      </c>
      <c r="U313" s="107"/>
      <c r="V313" s="106"/>
      <c r="W313" s="107">
        <f t="shared" si="108"/>
        <v>6066560.6589831896</v>
      </c>
      <c r="X313" s="107">
        <f t="shared" si="108"/>
        <v>352618.83830339788</v>
      </c>
      <c r="Y313" s="109">
        <f t="shared" si="109"/>
        <v>6066560.6589831896</v>
      </c>
      <c r="Z313" s="109">
        <f t="shared" si="109"/>
        <v>352618.83830339788</v>
      </c>
      <c r="AA313" s="109"/>
      <c r="AB313" s="109"/>
      <c r="AC313" s="109">
        <f t="shared" si="120"/>
        <v>352618.83830339788</v>
      </c>
      <c r="AD313" s="110">
        <v>0</v>
      </c>
      <c r="AE313" s="110">
        <f t="shared" si="127"/>
        <v>6740622.9544257652</v>
      </c>
      <c r="AF313" s="110"/>
      <c r="AG313" s="111"/>
      <c r="AH313" s="111"/>
      <c r="AI313" s="111"/>
      <c r="AJ313" s="111"/>
      <c r="AK313" s="111">
        <v>278113.32</v>
      </c>
      <c r="AL313" s="111">
        <f t="shared" si="106"/>
        <v>74505.518303397868</v>
      </c>
      <c r="AM313" s="111"/>
      <c r="AN313" s="111"/>
      <c r="AO313" s="111"/>
      <c r="AP313" s="111">
        <f t="shared" si="103"/>
        <v>74505.518303397868</v>
      </c>
      <c r="AQ313" s="111">
        <v>70543.23</v>
      </c>
      <c r="AR313" s="111">
        <f t="shared" si="117"/>
        <v>3962.2883033978724</v>
      </c>
      <c r="AS313" s="111"/>
      <c r="AT313" s="111">
        <v>3962.29</v>
      </c>
      <c r="AU313" s="111">
        <f t="shared" si="124"/>
        <v>-1.6966021275948151E-3</v>
      </c>
      <c r="AV313" s="111"/>
      <c r="AW313" s="111"/>
      <c r="AX313" s="111"/>
      <c r="AY313" s="111">
        <v>0</v>
      </c>
      <c r="AZ313" s="111"/>
      <c r="BA313" s="85">
        <f t="shared" si="116"/>
        <v>0</v>
      </c>
      <c r="BB313" s="85"/>
      <c r="BC313" s="85"/>
      <c r="BD313" s="85"/>
      <c r="BE313" s="85"/>
      <c r="BF313" s="85"/>
      <c r="BG313" s="85"/>
      <c r="BH313" s="111">
        <f t="shared" si="114"/>
        <v>0</v>
      </c>
      <c r="BI313" s="111"/>
      <c r="BJ313" s="112">
        <f t="shared" si="96"/>
        <v>7583200.8237289861</v>
      </c>
      <c r="BK313" s="112"/>
      <c r="BL313" s="112"/>
      <c r="BM313" s="113"/>
      <c r="BN313" s="113"/>
      <c r="BO313" s="113"/>
      <c r="BP313" s="112">
        <v>7580000</v>
      </c>
      <c r="BQ313" s="114">
        <f t="shared" si="107"/>
        <v>3200.8237289860845</v>
      </c>
      <c r="BR313" s="114">
        <f t="shared" si="104"/>
        <v>1831164.8123722975</v>
      </c>
      <c r="BS313" s="98"/>
      <c r="BT313" s="98"/>
      <c r="BU313" s="98"/>
      <c r="BV313" s="115">
        <f t="shared" si="105"/>
        <v>2136358.9477676805</v>
      </c>
      <c r="BW313" s="115"/>
      <c r="BX313" s="116">
        <f t="shared" si="119"/>
        <v>176101.70237323878</v>
      </c>
      <c r="BY313" s="116">
        <f>AT313/K313/L313/N313*O313</f>
        <v>704407.11111111112</v>
      </c>
      <c r="BZ313" s="116"/>
      <c r="CA313" s="116"/>
      <c r="CB313" s="116"/>
      <c r="CC313" s="116"/>
      <c r="CD313" s="116">
        <v>0</v>
      </c>
      <c r="CE313" s="116"/>
      <c r="CF313" s="116"/>
      <c r="CG313" s="116"/>
      <c r="CH313" s="116"/>
      <c r="CI313" s="116"/>
      <c r="CJ313" s="116"/>
      <c r="CK313" s="116">
        <v>0</v>
      </c>
      <c r="CL313" s="116">
        <v>2649000</v>
      </c>
      <c r="CM313" s="217" t="s">
        <v>513</v>
      </c>
      <c r="CN313" s="118" t="s">
        <v>95</v>
      </c>
    </row>
    <row r="314" spans="1:92" s="120" customFormat="1" ht="38.25" x14ac:dyDescent="0.2">
      <c r="B314" s="99">
        <f t="shared" si="115"/>
        <v>291</v>
      </c>
      <c r="C314" s="122" t="s">
        <v>511</v>
      </c>
      <c r="D314" s="123" t="s">
        <v>512</v>
      </c>
      <c r="E314" s="122" t="s">
        <v>151</v>
      </c>
      <c r="F314" s="100" t="s">
        <v>134</v>
      </c>
      <c r="G314" s="124">
        <v>43525</v>
      </c>
      <c r="H314" s="124">
        <v>43525</v>
      </c>
      <c r="I314" s="125">
        <v>20000000</v>
      </c>
      <c r="J314" s="126">
        <v>7.7499999999999999E-2</v>
      </c>
      <c r="K314" s="105">
        <v>7.4999999999999997E-2</v>
      </c>
      <c r="L314" s="127">
        <v>0.9</v>
      </c>
      <c r="M314" s="128">
        <v>9</v>
      </c>
      <c r="N314" s="128"/>
      <c r="O314" s="127">
        <v>12</v>
      </c>
      <c r="P314" s="128">
        <f t="shared" si="110"/>
        <v>1046250</v>
      </c>
      <c r="Q314" s="128">
        <f t="shared" si="111"/>
        <v>12133121.317966379</v>
      </c>
      <c r="R314" s="128">
        <f t="shared" si="112"/>
        <v>634713.90894611622</v>
      </c>
      <c r="S314" s="128">
        <f t="shared" si="113"/>
        <v>411536.09105388378</v>
      </c>
      <c r="T314" s="129">
        <v>0.606656065898319</v>
      </c>
      <c r="U314" s="128"/>
      <c r="V314" s="127"/>
      <c r="W314" s="128">
        <f t="shared" si="108"/>
        <v>12133121.317966379</v>
      </c>
      <c r="X314" s="128">
        <f t="shared" si="108"/>
        <v>634713.90894611622</v>
      </c>
      <c r="Y314" s="130">
        <f t="shared" si="109"/>
        <v>12133121.317966379</v>
      </c>
      <c r="Z314" s="130">
        <f t="shared" si="109"/>
        <v>634713.90894611622</v>
      </c>
      <c r="AA314" s="130">
        <v>634713.91</v>
      </c>
      <c r="AB314" s="130"/>
      <c r="AC314" s="130">
        <f t="shared" si="120"/>
        <v>-1.0538838105276227E-3</v>
      </c>
      <c r="AD314" s="131">
        <v>0</v>
      </c>
      <c r="AE314" s="131">
        <f t="shared" si="127"/>
        <v>-2.0145927082965309E-2</v>
      </c>
      <c r="AF314" s="131"/>
      <c r="AG314" s="132"/>
      <c r="AH314" s="132"/>
      <c r="AI314" s="132"/>
      <c r="AJ314" s="132"/>
      <c r="AK314" s="132"/>
      <c r="AL314" s="111">
        <f t="shared" si="106"/>
        <v>-1.0538838105276227E-3</v>
      </c>
      <c r="AM314" s="111"/>
      <c r="AN314" s="111"/>
      <c r="AO314" s="111"/>
      <c r="AP314" s="111">
        <f t="shared" si="103"/>
        <v>-1.0538838105276227E-3</v>
      </c>
      <c r="AQ314" s="111"/>
      <c r="AR314" s="111">
        <f t="shared" si="117"/>
        <v>-1.0538838105276227E-3</v>
      </c>
      <c r="AS314" s="111"/>
      <c r="AT314" s="111">
        <v>0</v>
      </c>
      <c r="AU314" s="111">
        <f t="shared" si="124"/>
        <v>-1.0538838105276227E-3</v>
      </c>
      <c r="AV314" s="111"/>
      <c r="AW314" s="111"/>
      <c r="AX314" s="111"/>
      <c r="AY314" s="111"/>
      <c r="AZ314" s="111"/>
      <c r="BA314" s="85">
        <f t="shared" si="116"/>
        <v>0</v>
      </c>
      <c r="BB314" s="85"/>
      <c r="BC314" s="85"/>
      <c r="BD314" s="85"/>
      <c r="BE314" s="85"/>
      <c r="BF314" s="85"/>
      <c r="BG314" s="85"/>
      <c r="BH314" s="111">
        <f t="shared" si="114"/>
        <v>0</v>
      </c>
      <c r="BI314" s="111"/>
      <c r="BJ314" s="133">
        <f t="shared" ref="BJ314:BJ327" si="128">AC314/J314/L314/8*O314</f>
        <v>-2.2664167968335973E-2</v>
      </c>
      <c r="BK314" s="134"/>
      <c r="BL314" s="134"/>
      <c r="BM314" s="135"/>
      <c r="BN314" s="135"/>
      <c r="BO314" s="135"/>
      <c r="BP314" s="135"/>
      <c r="BQ314" s="114">
        <f t="shared" si="107"/>
        <v>-2.2664167968335973E-2</v>
      </c>
      <c r="BR314" s="114">
        <f t="shared" si="104"/>
        <v>-2.5901906249526825E-2</v>
      </c>
      <c r="BS314" s="136"/>
      <c r="BT314" s="136"/>
      <c r="BU314" s="136"/>
      <c r="BV314" s="115">
        <f t="shared" si="105"/>
        <v>-3.0218890624447964E-2</v>
      </c>
      <c r="BW314" s="115"/>
      <c r="BX314" s="116">
        <f t="shared" si="119"/>
        <v>-4.6839280467894345E-2</v>
      </c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>
        <v>0</v>
      </c>
      <c r="CL314" s="116"/>
      <c r="CM314" s="119"/>
    </row>
    <row r="315" spans="1:92" s="120" customFormat="1" ht="38.25" x14ac:dyDescent="0.2">
      <c r="B315" s="99">
        <f t="shared" si="115"/>
        <v>292</v>
      </c>
      <c r="C315" s="122" t="s">
        <v>511</v>
      </c>
      <c r="D315" s="123" t="s">
        <v>512</v>
      </c>
      <c r="E315" s="122" t="s">
        <v>151</v>
      </c>
      <c r="F315" s="100" t="s">
        <v>134</v>
      </c>
      <c r="G315" s="124">
        <v>43556</v>
      </c>
      <c r="H315" s="124">
        <v>43556</v>
      </c>
      <c r="I315" s="125">
        <v>30000000</v>
      </c>
      <c r="J315" s="126">
        <v>7.7499999999999999E-2</v>
      </c>
      <c r="K315" s="105">
        <v>7.4999999999999997E-2</v>
      </c>
      <c r="L315" s="127">
        <v>0.9</v>
      </c>
      <c r="M315" s="128">
        <v>8</v>
      </c>
      <c r="N315" s="128"/>
      <c r="O315" s="127">
        <v>12</v>
      </c>
      <c r="P315" s="128">
        <f t="shared" si="110"/>
        <v>1395000</v>
      </c>
      <c r="Q315" s="128">
        <f t="shared" si="111"/>
        <v>18199681.976949569</v>
      </c>
      <c r="R315" s="128">
        <f t="shared" si="112"/>
        <v>846285.21192815492</v>
      </c>
      <c r="S315" s="128">
        <f t="shared" si="113"/>
        <v>548714.78807184508</v>
      </c>
      <c r="T315" s="129">
        <v>0.606656065898319</v>
      </c>
      <c r="U315" s="128"/>
      <c r="V315" s="127"/>
      <c r="W315" s="128">
        <f t="shared" si="108"/>
        <v>18199681.976949569</v>
      </c>
      <c r="X315" s="128">
        <f t="shared" si="108"/>
        <v>846285.21192815492</v>
      </c>
      <c r="Y315" s="130">
        <f t="shared" si="109"/>
        <v>18199681.976949569</v>
      </c>
      <c r="Z315" s="130">
        <f t="shared" si="109"/>
        <v>846285.21192815492</v>
      </c>
      <c r="AA315" s="130">
        <v>846285.21</v>
      </c>
      <c r="AB315" s="130"/>
      <c r="AC315" s="130">
        <f t="shared" si="120"/>
        <v>1.9281549612060189E-3</v>
      </c>
      <c r="AD315" s="131">
        <v>0</v>
      </c>
      <c r="AE315" s="131">
        <f t="shared" si="127"/>
        <v>3.6858398302624017E-2</v>
      </c>
      <c r="AF315" s="131"/>
      <c r="AG315" s="132"/>
      <c r="AH315" s="132"/>
      <c r="AI315" s="132"/>
      <c r="AJ315" s="132"/>
      <c r="AK315" s="132"/>
      <c r="AL315" s="111">
        <f t="shared" si="106"/>
        <v>1.9281549612060189E-3</v>
      </c>
      <c r="AM315" s="111"/>
      <c r="AN315" s="111"/>
      <c r="AO315" s="111"/>
      <c r="AP315" s="111">
        <f t="shared" si="103"/>
        <v>1.9281549612060189E-3</v>
      </c>
      <c r="AQ315" s="111"/>
      <c r="AR315" s="111">
        <f t="shared" si="117"/>
        <v>1.9281549612060189E-3</v>
      </c>
      <c r="AS315" s="111"/>
      <c r="AT315" s="111">
        <v>0</v>
      </c>
      <c r="AU315" s="111">
        <f t="shared" si="124"/>
        <v>1.9281549612060189E-3</v>
      </c>
      <c r="AV315" s="111"/>
      <c r="AW315" s="111"/>
      <c r="AX315" s="111"/>
      <c r="AY315" s="111"/>
      <c r="AZ315" s="111"/>
      <c r="BA315" s="85">
        <f t="shared" si="116"/>
        <v>0</v>
      </c>
      <c r="BB315" s="85"/>
      <c r="BC315" s="85"/>
      <c r="BD315" s="85"/>
      <c r="BE315" s="85"/>
      <c r="BF315" s="85"/>
      <c r="BG315" s="85"/>
      <c r="BH315" s="111">
        <f t="shared" si="114"/>
        <v>0</v>
      </c>
      <c r="BI315" s="111"/>
      <c r="BJ315" s="112">
        <f t="shared" si="128"/>
        <v>4.1465698090452023E-2</v>
      </c>
      <c r="BK315" s="134"/>
      <c r="BL315" s="134"/>
      <c r="BM315" s="135"/>
      <c r="BN315" s="135"/>
      <c r="BO315" s="135"/>
      <c r="BP315" s="135"/>
      <c r="BQ315" s="114">
        <f t="shared" si="107"/>
        <v>4.1465698090452023E-2</v>
      </c>
      <c r="BR315" s="114">
        <f t="shared" si="104"/>
        <v>4.7389369246230884E-2</v>
      </c>
      <c r="BS315" s="136"/>
      <c r="BT315" s="136"/>
      <c r="BU315" s="136"/>
      <c r="BV315" s="115">
        <f t="shared" si="105"/>
        <v>5.5287597453936022E-2</v>
      </c>
      <c r="BW315" s="115"/>
      <c r="BX315" s="116">
        <f t="shared" si="119"/>
        <v>8.5695776053600847E-2</v>
      </c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>
        <v>0</v>
      </c>
      <c r="CL315" s="116"/>
      <c r="CM315" s="119"/>
    </row>
    <row r="316" spans="1:92" s="118" customFormat="1" ht="38.25" x14ac:dyDescent="0.2">
      <c r="B316" s="99">
        <f t="shared" si="115"/>
        <v>293</v>
      </c>
      <c r="C316" s="100" t="s">
        <v>511</v>
      </c>
      <c r="D316" s="101" t="s">
        <v>512</v>
      </c>
      <c r="E316" s="100" t="s">
        <v>357</v>
      </c>
      <c r="F316" s="100" t="s">
        <v>134</v>
      </c>
      <c r="G316" s="103">
        <v>43586</v>
      </c>
      <c r="H316" s="103">
        <v>43586</v>
      </c>
      <c r="I316" s="104">
        <v>30000000</v>
      </c>
      <c r="J316" s="105">
        <v>7.7499999999999999E-2</v>
      </c>
      <c r="K316" s="105">
        <v>7.4999999999999997E-2</v>
      </c>
      <c r="L316" s="106">
        <v>0.9</v>
      </c>
      <c r="M316" s="107">
        <v>7</v>
      </c>
      <c r="N316" s="107">
        <v>1</v>
      </c>
      <c r="O316" s="106">
        <v>12</v>
      </c>
      <c r="P316" s="107">
        <f t="shared" si="110"/>
        <v>1220625</v>
      </c>
      <c r="Q316" s="107">
        <f t="shared" si="111"/>
        <v>18199681.976949569</v>
      </c>
      <c r="R316" s="107">
        <f t="shared" si="112"/>
        <v>740499.56043713551</v>
      </c>
      <c r="S316" s="107">
        <f t="shared" si="113"/>
        <v>480125.43956286449</v>
      </c>
      <c r="T316" s="108">
        <v>0.606656065898319</v>
      </c>
      <c r="U316" s="107"/>
      <c r="V316" s="106"/>
      <c r="W316" s="107">
        <f t="shared" si="108"/>
        <v>18199681.976949569</v>
      </c>
      <c r="X316" s="107">
        <f t="shared" si="108"/>
        <v>740499.56043713551</v>
      </c>
      <c r="Y316" s="109">
        <f t="shared" si="109"/>
        <v>18199681.976949569</v>
      </c>
      <c r="Z316" s="109">
        <f t="shared" si="109"/>
        <v>740499.56043713551</v>
      </c>
      <c r="AA316" s="109">
        <v>479550.87</v>
      </c>
      <c r="AB316" s="109"/>
      <c r="AC316" s="109">
        <f t="shared" si="120"/>
        <v>260948.69043713552</v>
      </c>
      <c r="AD316" s="110">
        <v>0</v>
      </c>
      <c r="AE316" s="110">
        <f t="shared" si="127"/>
        <v>4988266.483864001</v>
      </c>
      <c r="AF316" s="110"/>
      <c r="AG316" s="111"/>
      <c r="AH316" s="111"/>
      <c r="AI316" s="111"/>
      <c r="AJ316" s="111"/>
      <c r="AK316" s="111"/>
      <c r="AL316" s="111">
        <f t="shared" si="106"/>
        <v>260948.69043713552</v>
      </c>
      <c r="AM316" s="111"/>
      <c r="AN316" s="111"/>
      <c r="AO316" s="111"/>
      <c r="AP316" s="111">
        <f t="shared" si="103"/>
        <v>260948.69043713552</v>
      </c>
      <c r="AQ316" s="111">
        <v>247074.41</v>
      </c>
      <c r="AR316" s="111">
        <f t="shared" si="117"/>
        <v>13874.280437135516</v>
      </c>
      <c r="AS316" s="111"/>
      <c r="AT316" s="111">
        <v>13874.28</v>
      </c>
      <c r="AU316" s="111">
        <f t="shared" si="124"/>
        <v>4.371355153125478E-4</v>
      </c>
      <c r="AV316" s="111"/>
      <c r="AW316" s="111"/>
      <c r="AX316" s="111"/>
      <c r="AY316" s="111">
        <v>0</v>
      </c>
      <c r="AZ316" s="111"/>
      <c r="BA316" s="85">
        <f t="shared" si="116"/>
        <v>0</v>
      </c>
      <c r="BB316" s="85"/>
      <c r="BC316" s="85"/>
      <c r="BD316" s="85"/>
      <c r="BE316" s="85"/>
      <c r="BF316" s="85"/>
      <c r="BG316" s="85"/>
      <c r="BH316" s="111">
        <f t="shared" si="114"/>
        <v>0</v>
      </c>
      <c r="BI316" s="111"/>
      <c r="BJ316" s="112">
        <f t="shared" si="128"/>
        <v>5611799.7943470012</v>
      </c>
      <c r="BK316" s="112"/>
      <c r="BL316" s="112"/>
      <c r="BM316" s="113"/>
      <c r="BN316" s="113"/>
      <c r="BO316" s="113"/>
      <c r="BP316" s="113"/>
      <c r="BQ316" s="114">
        <f t="shared" si="107"/>
        <v>5611799.7943470012</v>
      </c>
      <c r="BR316" s="114">
        <f t="shared" si="104"/>
        <v>6413485.4792537149</v>
      </c>
      <c r="BS316" s="98"/>
      <c r="BT316" s="98"/>
      <c r="BU316" s="98"/>
      <c r="BV316" s="115">
        <f>AP316/J316/L316/6*O316</f>
        <v>7482399.725796001</v>
      </c>
      <c r="BW316" s="115"/>
      <c r="BX316" s="116">
        <f t="shared" si="119"/>
        <v>616634.68609491177</v>
      </c>
      <c r="BY316" s="116">
        <f>AT316/K316/L316/N316*O316</f>
        <v>2466538.666666667</v>
      </c>
      <c r="BZ316" s="116"/>
      <c r="CA316" s="116"/>
      <c r="CB316" s="116"/>
      <c r="CC316" s="116"/>
      <c r="CD316" s="116">
        <v>0</v>
      </c>
      <c r="CE316" s="116"/>
      <c r="CF316" s="116"/>
      <c r="CG316" s="116"/>
      <c r="CH316" s="116"/>
      <c r="CI316" s="116"/>
      <c r="CJ316" s="116"/>
      <c r="CK316" s="116">
        <v>0</v>
      </c>
      <c r="CL316" s="116">
        <v>9278000</v>
      </c>
      <c r="CM316" s="217" t="s">
        <v>513</v>
      </c>
      <c r="CN316" s="99" t="s">
        <v>109</v>
      </c>
    </row>
    <row r="317" spans="1:92" s="118" customFormat="1" ht="38.25" x14ac:dyDescent="0.2">
      <c r="B317" s="99">
        <f t="shared" si="115"/>
        <v>294</v>
      </c>
      <c r="C317" s="100" t="s">
        <v>511</v>
      </c>
      <c r="D317" s="101" t="s">
        <v>512</v>
      </c>
      <c r="E317" s="100" t="s">
        <v>95</v>
      </c>
      <c r="F317" s="100" t="s">
        <v>134</v>
      </c>
      <c r="G317" s="103">
        <v>43770</v>
      </c>
      <c r="H317" s="103" t="s">
        <v>97</v>
      </c>
      <c r="I317" s="104">
        <v>20000000</v>
      </c>
      <c r="J317" s="105">
        <v>7.7499999999999999E-2</v>
      </c>
      <c r="K317" s="105">
        <v>7.4999999999999997E-2</v>
      </c>
      <c r="L317" s="106">
        <v>0.9</v>
      </c>
      <c r="M317" s="107">
        <v>1</v>
      </c>
      <c r="N317" s="107">
        <v>4</v>
      </c>
      <c r="O317" s="106">
        <v>12</v>
      </c>
      <c r="P317" s="107">
        <f t="shared" si="110"/>
        <v>116250</v>
      </c>
      <c r="Q317" s="107">
        <f t="shared" si="111"/>
        <v>12133121.317966379</v>
      </c>
      <c r="R317" s="107">
        <f t="shared" si="112"/>
        <v>70523.767660679572</v>
      </c>
      <c r="S317" s="107">
        <f t="shared" si="113"/>
        <v>45726.232339320428</v>
      </c>
      <c r="T317" s="108">
        <v>0.606656065898319</v>
      </c>
      <c r="U317" s="107"/>
      <c r="V317" s="106"/>
      <c r="W317" s="107">
        <f t="shared" si="108"/>
        <v>12133121.317966379</v>
      </c>
      <c r="X317" s="107">
        <f t="shared" si="108"/>
        <v>70523.767660679572</v>
      </c>
      <c r="Y317" s="109">
        <f t="shared" si="109"/>
        <v>12133121.317966379</v>
      </c>
      <c r="Z317" s="109">
        <f t="shared" si="109"/>
        <v>70523.767660679572</v>
      </c>
      <c r="AA317" s="109"/>
      <c r="AB317" s="109"/>
      <c r="AC317" s="109">
        <f t="shared" si="120"/>
        <v>70523.767660679572</v>
      </c>
      <c r="AD317" s="110">
        <v>0</v>
      </c>
      <c r="AE317" s="110">
        <f t="shared" si="127"/>
        <v>1348124.5908851533</v>
      </c>
      <c r="AF317" s="110"/>
      <c r="AG317" s="111"/>
      <c r="AH317" s="111"/>
      <c r="AI317" s="111"/>
      <c r="AJ317" s="111"/>
      <c r="AK317" s="111"/>
      <c r="AL317" s="111">
        <f t="shared" si="106"/>
        <v>70523.767660679572</v>
      </c>
      <c r="AM317" s="111"/>
      <c r="AN317" s="111"/>
      <c r="AO317" s="111"/>
      <c r="AP317" s="111">
        <f t="shared" si="103"/>
        <v>70523.767660679572</v>
      </c>
      <c r="AQ317" s="111"/>
      <c r="AR317" s="111">
        <f t="shared" si="117"/>
        <v>70523.767660679572</v>
      </c>
      <c r="AS317" s="111"/>
      <c r="AT317" s="111">
        <v>70523.77</v>
      </c>
      <c r="AU317" s="111">
        <f t="shared" si="124"/>
        <v>-2.3393204319290817E-3</v>
      </c>
      <c r="AV317" s="111"/>
      <c r="AW317" s="111"/>
      <c r="AX317" s="111"/>
      <c r="AY317" s="111">
        <f>CL317*7.25%*0.9*3.5/12</f>
        <v>380625</v>
      </c>
      <c r="AZ317" s="111"/>
      <c r="BA317" s="111">
        <f t="shared" si="116"/>
        <v>380625</v>
      </c>
      <c r="BB317" s="111"/>
      <c r="BC317" s="111"/>
      <c r="BD317" s="111"/>
      <c r="BE317" s="111"/>
      <c r="BF317" s="111"/>
      <c r="BG317" s="111">
        <v>321780.82</v>
      </c>
      <c r="BH317" s="111">
        <f t="shared" si="114"/>
        <v>58844.179999999993</v>
      </c>
      <c r="BI317" s="111">
        <f>CK317*7.25%*0.9*3/12</f>
        <v>0</v>
      </c>
      <c r="BJ317" s="112">
        <f t="shared" si="128"/>
        <v>1516640.1647457974</v>
      </c>
      <c r="BK317" s="112"/>
      <c r="BL317" s="112"/>
      <c r="BM317" s="113"/>
      <c r="BN317" s="113"/>
      <c r="BO317" s="113"/>
      <c r="BP317" s="113"/>
      <c r="BQ317" s="114">
        <f t="shared" si="107"/>
        <v>1516640.1647457974</v>
      </c>
      <c r="BR317" s="114">
        <f t="shared" si="104"/>
        <v>1733303.0454237685</v>
      </c>
      <c r="BS317" s="98"/>
      <c r="BT317" s="98"/>
      <c r="BU317" s="98"/>
      <c r="BV317" s="115">
        <f t="shared" si="105"/>
        <v>2022186.88632773</v>
      </c>
      <c r="BW317" s="115"/>
      <c r="BX317" s="116">
        <f t="shared" si="119"/>
        <v>3134389.673807981</v>
      </c>
      <c r="BY317" s="116">
        <f>AT317/K317/L317/N317*O317</f>
        <v>3134389.777777778</v>
      </c>
      <c r="BZ317" s="116"/>
      <c r="CA317" s="116"/>
      <c r="CB317" s="116"/>
      <c r="CC317" s="116"/>
      <c r="CD317" s="116">
        <v>20000000</v>
      </c>
      <c r="CE317" s="116"/>
      <c r="CF317" s="116"/>
      <c r="CG317" s="116"/>
      <c r="CH317" s="116"/>
      <c r="CI317" s="116"/>
      <c r="CJ317" s="116">
        <v>20000000</v>
      </c>
      <c r="CK317" s="116">
        <f>20000000-20000000</f>
        <v>0</v>
      </c>
      <c r="CL317" s="116">
        <v>20000000</v>
      </c>
      <c r="CM317" s="217" t="s">
        <v>514</v>
      </c>
      <c r="CN317" s="99" t="s">
        <v>109</v>
      </c>
    </row>
    <row r="318" spans="1:92" s="2" customFormat="1" ht="38.25" x14ac:dyDescent="0.2">
      <c r="B318" s="145">
        <f t="shared" si="115"/>
        <v>295</v>
      </c>
      <c r="C318" s="148" t="s">
        <v>511</v>
      </c>
      <c r="D318" s="164" t="s">
        <v>512</v>
      </c>
      <c r="E318" s="148" t="s">
        <v>357</v>
      </c>
      <c r="F318" s="148" t="s">
        <v>134</v>
      </c>
      <c r="G318" s="149">
        <v>43800</v>
      </c>
      <c r="H318" s="149" t="s">
        <v>139</v>
      </c>
      <c r="I318" s="150">
        <v>0</v>
      </c>
      <c r="J318" s="151">
        <v>7.7499999999999999E-2</v>
      </c>
      <c r="K318" s="151">
        <v>7.2499999999999995E-2</v>
      </c>
      <c r="L318" s="152">
        <v>0.9</v>
      </c>
      <c r="M318" s="153">
        <v>0</v>
      </c>
      <c r="N318" s="153">
        <v>1</v>
      </c>
      <c r="O318" s="152">
        <v>12</v>
      </c>
      <c r="P318" s="153">
        <f t="shared" si="110"/>
        <v>0</v>
      </c>
      <c r="Q318" s="153">
        <f t="shared" si="111"/>
        <v>0</v>
      </c>
      <c r="R318" s="153">
        <f t="shared" si="112"/>
        <v>0</v>
      </c>
      <c r="S318" s="153">
        <f t="shared" si="113"/>
        <v>0</v>
      </c>
      <c r="T318" s="154">
        <v>0.606656065898319</v>
      </c>
      <c r="U318" s="153"/>
      <c r="V318" s="152"/>
      <c r="W318" s="153">
        <f t="shared" si="108"/>
        <v>0</v>
      </c>
      <c r="X318" s="153">
        <f t="shared" si="108"/>
        <v>0</v>
      </c>
      <c r="Y318" s="155">
        <f t="shared" si="109"/>
        <v>0</v>
      </c>
      <c r="Z318" s="155">
        <f t="shared" si="109"/>
        <v>0</v>
      </c>
      <c r="AA318" s="155"/>
      <c r="AB318" s="155"/>
      <c r="AC318" s="155">
        <f t="shared" si="120"/>
        <v>0</v>
      </c>
      <c r="AD318" s="156">
        <v>0</v>
      </c>
      <c r="AE318" s="156">
        <f t="shared" si="127"/>
        <v>0</v>
      </c>
      <c r="AF318" s="156"/>
      <c r="AG318" s="83"/>
      <c r="AH318" s="83"/>
      <c r="AI318" s="83"/>
      <c r="AJ318" s="83"/>
      <c r="AK318" s="83"/>
      <c r="AL318" s="83">
        <f t="shared" si="106"/>
        <v>0</v>
      </c>
      <c r="AM318" s="83"/>
      <c r="AN318" s="83"/>
      <c r="AO318" s="83"/>
      <c r="AP318" s="83">
        <f t="shared" si="103"/>
        <v>0</v>
      </c>
      <c r="AQ318" s="83"/>
      <c r="AR318" s="83">
        <f t="shared" si="117"/>
        <v>0</v>
      </c>
      <c r="AS318" s="83"/>
      <c r="AT318" s="83">
        <v>0</v>
      </c>
      <c r="AU318" s="83">
        <f t="shared" si="124"/>
        <v>0</v>
      </c>
      <c r="AV318" s="83"/>
      <c r="AW318" s="83"/>
      <c r="AX318" s="83"/>
      <c r="AY318" s="83">
        <v>270000</v>
      </c>
      <c r="AZ318" s="83"/>
      <c r="BA318" s="83">
        <f t="shared" si="116"/>
        <v>270000</v>
      </c>
      <c r="BB318" s="83"/>
      <c r="BC318" s="83"/>
      <c r="BD318" s="83"/>
      <c r="BE318" s="83"/>
      <c r="BF318" s="83"/>
      <c r="BG318" s="83"/>
      <c r="BH318" s="83">
        <f t="shared" si="114"/>
        <v>270000</v>
      </c>
      <c r="BI318" s="83">
        <f>CK318*K318*L318*N318/O318</f>
        <v>81562.5</v>
      </c>
      <c r="BJ318" s="159">
        <f t="shared" si="128"/>
        <v>0</v>
      </c>
      <c r="BK318" s="159"/>
      <c r="BL318" s="159"/>
      <c r="BM318" s="89"/>
      <c r="BN318" s="89"/>
      <c r="BO318" s="89"/>
      <c r="BP318" s="89"/>
      <c r="BQ318" s="160">
        <f t="shared" si="107"/>
        <v>0</v>
      </c>
      <c r="BR318" s="160">
        <f t="shared" si="104"/>
        <v>0</v>
      </c>
      <c r="BS318" s="161"/>
      <c r="BT318" s="161"/>
      <c r="BU318" s="161"/>
      <c r="BV318" s="162">
        <f t="shared" si="105"/>
        <v>0</v>
      </c>
      <c r="BW318" s="162"/>
      <c r="BX318" s="95">
        <f t="shared" si="119"/>
        <v>0</v>
      </c>
      <c r="BY318" s="95"/>
      <c r="BZ318" s="95"/>
      <c r="CA318" s="95"/>
      <c r="CB318" s="95"/>
      <c r="CC318" s="95"/>
      <c r="CD318" s="95">
        <v>16000000</v>
      </c>
      <c r="CE318" s="95"/>
      <c r="CF318" s="95"/>
      <c r="CG318" s="95"/>
      <c r="CH318" s="95"/>
      <c r="CI318" s="95"/>
      <c r="CJ318" s="95"/>
      <c r="CK318" s="95">
        <v>15000000</v>
      </c>
      <c r="CL318" s="95">
        <v>16000000</v>
      </c>
      <c r="CM318" s="170" t="s">
        <v>514</v>
      </c>
      <c r="CN318" s="145" t="s">
        <v>109</v>
      </c>
    </row>
    <row r="319" spans="1:92" s="118" customFormat="1" ht="38.25" x14ac:dyDescent="0.2">
      <c r="B319" s="99">
        <f t="shared" si="115"/>
        <v>296</v>
      </c>
      <c r="C319" s="100" t="s">
        <v>511</v>
      </c>
      <c r="D319" s="101" t="s">
        <v>512</v>
      </c>
      <c r="E319" s="100" t="s">
        <v>357</v>
      </c>
      <c r="F319" s="100" t="s">
        <v>134</v>
      </c>
      <c r="G319" s="103"/>
      <c r="H319" s="103" t="s">
        <v>97</v>
      </c>
      <c r="I319" s="104">
        <v>20000000</v>
      </c>
      <c r="J319" s="105">
        <v>7.7499999999999999E-2</v>
      </c>
      <c r="K319" s="105">
        <v>7.4999999999999997E-2</v>
      </c>
      <c r="L319" s="106">
        <v>0.9</v>
      </c>
      <c r="M319" s="107">
        <v>0</v>
      </c>
      <c r="N319" s="107">
        <v>2</v>
      </c>
      <c r="O319" s="106">
        <v>12</v>
      </c>
      <c r="P319" s="107">
        <v>0</v>
      </c>
      <c r="Q319" s="107"/>
      <c r="R319" s="107">
        <v>0</v>
      </c>
      <c r="S319" s="107">
        <v>0</v>
      </c>
      <c r="T319" s="108">
        <v>0.606656065898319</v>
      </c>
      <c r="U319" s="107"/>
      <c r="V319" s="106"/>
      <c r="W319" s="107">
        <v>12133121.32</v>
      </c>
      <c r="X319" s="107">
        <v>0</v>
      </c>
      <c r="Y319" s="109">
        <f>W319</f>
        <v>12133121.32</v>
      </c>
      <c r="Z319" s="109"/>
      <c r="AA319" s="109"/>
      <c r="AB319" s="109"/>
      <c r="AC319" s="109"/>
      <c r="AD319" s="110"/>
      <c r="AE319" s="110"/>
      <c r="AF319" s="110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>
        <f t="shared" si="117"/>
        <v>0</v>
      </c>
      <c r="AS319" s="111"/>
      <c r="AT319" s="111">
        <v>0</v>
      </c>
      <c r="AU319" s="111">
        <f t="shared" si="124"/>
        <v>0</v>
      </c>
      <c r="AV319" s="111"/>
      <c r="AW319" s="111"/>
      <c r="AX319" s="111"/>
      <c r="AY319" s="111">
        <v>225000</v>
      </c>
      <c r="AZ319" s="111"/>
      <c r="BA319" s="111">
        <f t="shared" si="116"/>
        <v>225000</v>
      </c>
      <c r="BB319" s="111"/>
      <c r="BC319" s="111"/>
      <c r="BD319" s="111"/>
      <c r="BE319" s="111"/>
      <c r="BF319" s="111"/>
      <c r="BG319" s="111">
        <v>321780.82</v>
      </c>
      <c r="BH319" s="111">
        <f t="shared" si="114"/>
        <v>-96780.82</v>
      </c>
      <c r="BI319" s="111">
        <f t="shared" ref="BI319" si="129">CK319*7.25%*0.9*3/12</f>
        <v>0</v>
      </c>
      <c r="BJ319" s="112"/>
      <c r="BK319" s="112"/>
      <c r="BL319" s="112"/>
      <c r="BM319" s="113"/>
      <c r="BN319" s="113"/>
      <c r="BO319" s="113"/>
      <c r="BP319" s="113"/>
      <c r="BQ319" s="114"/>
      <c r="BR319" s="114"/>
      <c r="BS319" s="98"/>
      <c r="BT319" s="98"/>
      <c r="BU319" s="98"/>
      <c r="BV319" s="115"/>
      <c r="BW319" s="115"/>
      <c r="BX319" s="116">
        <f t="shared" si="119"/>
        <v>0</v>
      </c>
      <c r="BY319" s="116"/>
      <c r="BZ319" s="116"/>
      <c r="CA319" s="116"/>
      <c r="CB319" s="116"/>
      <c r="CC319" s="116"/>
      <c r="CD319" s="116">
        <v>20000000</v>
      </c>
      <c r="CE319" s="116"/>
      <c r="CF319" s="116"/>
      <c r="CG319" s="116"/>
      <c r="CH319" s="116"/>
      <c r="CI319" s="116"/>
      <c r="CJ319" s="116">
        <v>20000000</v>
      </c>
      <c r="CK319" s="116">
        <f>20000000-20000000</f>
        <v>0</v>
      </c>
      <c r="CL319" s="116">
        <v>20000000</v>
      </c>
      <c r="CM319" s="217" t="s">
        <v>514</v>
      </c>
      <c r="CN319" s="99" t="s">
        <v>109</v>
      </c>
    </row>
    <row r="320" spans="1:92" s="2" customFormat="1" ht="38.25" x14ac:dyDescent="0.2">
      <c r="B320" s="145">
        <f t="shared" si="115"/>
        <v>297</v>
      </c>
      <c r="C320" s="148" t="s">
        <v>511</v>
      </c>
      <c r="D320" s="164" t="s">
        <v>512</v>
      </c>
      <c r="E320" s="148" t="s">
        <v>357</v>
      </c>
      <c r="F320" s="148" t="s">
        <v>134</v>
      </c>
      <c r="G320" s="149"/>
      <c r="H320" s="149" t="s">
        <v>124</v>
      </c>
      <c r="I320" s="150">
        <v>0</v>
      </c>
      <c r="J320" s="151">
        <v>7.7499999999999999E-2</v>
      </c>
      <c r="K320" s="151">
        <v>7.2499999999999995E-2</v>
      </c>
      <c r="L320" s="152">
        <v>0.9</v>
      </c>
      <c r="M320" s="153">
        <v>0</v>
      </c>
      <c r="N320" s="153">
        <v>2</v>
      </c>
      <c r="O320" s="152">
        <v>12</v>
      </c>
      <c r="P320" s="153"/>
      <c r="Q320" s="153"/>
      <c r="R320" s="153"/>
      <c r="S320" s="153"/>
      <c r="T320" s="154"/>
      <c r="U320" s="153"/>
      <c r="V320" s="152"/>
      <c r="W320" s="153"/>
      <c r="X320" s="153"/>
      <c r="Y320" s="155"/>
      <c r="Z320" s="155"/>
      <c r="AA320" s="155"/>
      <c r="AB320" s="155"/>
      <c r="AC320" s="155"/>
      <c r="AD320" s="156"/>
      <c r="AE320" s="156"/>
      <c r="AF320" s="156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>
        <f t="shared" si="117"/>
        <v>0</v>
      </c>
      <c r="AS320" s="83"/>
      <c r="AT320" s="83">
        <v>0</v>
      </c>
      <c r="AU320" s="83">
        <f t="shared" si="124"/>
        <v>0</v>
      </c>
      <c r="AV320" s="83"/>
      <c r="AW320" s="83"/>
      <c r="AX320" s="83"/>
      <c r="AY320" s="83">
        <v>137773.13</v>
      </c>
      <c r="AZ320" s="83"/>
      <c r="BA320" s="83">
        <f t="shared" si="116"/>
        <v>137773.13</v>
      </c>
      <c r="BB320" s="83"/>
      <c r="BC320" s="83"/>
      <c r="BD320" s="83"/>
      <c r="BE320" s="83"/>
      <c r="BF320" s="83"/>
      <c r="BG320" s="83"/>
      <c r="BH320" s="83">
        <f t="shared" si="114"/>
        <v>137773.13</v>
      </c>
      <c r="BI320" s="83">
        <f>CK320*K320*L320*N320/O320</f>
        <v>326250</v>
      </c>
      <c r="BJ320" s="159"/>
      <c r="BK320" s="159"/>
      <c r="BL320" s="159"/>
      <c r="BM320" s="89"/>
      <c r="BN320" s="89"/>
      <c r="BO320" s="89"/>
      <c r="BP320" s="89"/>
      <c r="BQ320" s="160"/>
      <c r="BR320" s="160"/>
      <c r="BS320" s="161"/>
      <c r="BT320" s="161"/>
      <c r="BU320" s="161"/>
      <c r="BV320" s="162"/>
      <c r="BW320" s="162"/>
      <c r="BX320" s="95">
        <f t="shared" si="119"/>
        <v>0</v>
      </c>
      <c r="BY320" s="95"/>
      <c r="BZ320" s="95"/>
      <c r="CA320" s="95"/>
      <c r="CB320" s="95"/>
      <c r="CC320" s="95"/>
      <c r="CD320" s="95">
        <v>24493000</v>
      </c>
      <c r="CE320" s="95"/>
      <c r="CF320" s="95"/>
      <c r="CG320" s="95"/>
      <c r="CH320" s="95"/>
      <c r="CI320" s="95"/>
      <c r="CJ320" s="95"/>
      <c r="CK320" s="95">
        <v>30000000</v>
      </c>
      <c r="CL320" s="95">
        <v>25000000</v>
      </c>
      <c r="CM320" s="170" t="s">
        <v>514</v>
      </c>
      <c r="CN320" s="145" t="s">
        <v>109</v>
      </c>
    </row>
    <row r="321" spans="1:92" s="120" customFormat="1" x14ac:dyDescent="0.2">
      <c r="A321" s="120">
        <f>A312+1</f>
        <v>156</v>
      </c>
      <c r="B321" s="99">
        <f t="shared" si="115"/>
        <v>298</v>
      </c>
      <c r="C321" s="122" t="s">
        <v>515</v>
      </c>
      <c r="D321" s="123" t="s">
        <v>516</v>
      </c>
      <c r="E321" s="122" t="s">
        <v>151</v>
      </c>
      <c r="F321" s="100" t="s">
        <v>134</v>
      </c>
      <c r="G321" s="124">
        <v>43497</v>
      </c>
      <c r="H321" s="124">
        <v>43497</v>
      </c>
      <c r="I321" s="125">
        <v>5000000</v>
      </c>
      <c r="J321" s="126">
        <v>7.7499999999999999E-2</v>
      </c>
      <c r="K321" s="105">
        <v>7.4999999999999997E-2</v>
      </c>
      <c r="L321" s="127">
        <v>0.9</v>
      </c>
      <c r="M321" s="128">
        <v>10</v>
      </c>
      <c r="N321" s="128">
        <v>2</v>
      </c>
      <c r="O321" s="127">
        <v>12</v>
      </c>
      <c r="P321" s="128">
        <f t="shared" si="110"/>
        <v>290625</v>
      </c>
      <c r="Q321" s="128">
        <f t="shared" si="111"/>
        <v>3033280.3294915948</v>
      </c>
      <c r="R321" s="128">
        <f t="shared" si="112"/>
        <v>176309.41915169894</v>
      </c>
      <c r="S321" s="128">
        <f t="shared" si="113"/>
        <v>114315.58084830106</v>
      </c>
      <c r="T321" s="129">
        <v>0.606656065898319</v>
      </c>
      <c r="U321" s="172">
        <v>5000000</v>
      </c>
      <c r="V321" s="141">
        <f>290625-V323-V324-61422.76</f>
        <v>176309.41999999998</v>
      </c>
      <c r="W321" s="128">
        <f t="shared" si="108"/>
        <v>-1966719.6705084052</v>
      </c>
      <c r="X321" s="128">
        <f t="shared" si="108"/>
        <v>-8.4830104606226087E-4</v>
      </c>
      <c r="Y321" s="130">
        <f t="shared" si="109"/>
        <v>-1966719.6705084052</v>
      </c>
      <c r="Z321" s="130">
        <f t="shared" si="109"/>
        <v>-8.4830104606226087E-4</v>
      </c>
      <c r="AA321" s="130"/>
      <c r="AB321" s="130"/>
      <c r="AC321" s="130">
        <f t="shared" si="120"/>
        <v>-8.4830104606226087E-4</v>
      </c>
      <c r="AD321" s="131">
        <v>1673216.7248815082</v>
      </c>
      <c r="AE321" s="131">
        <f t="shared" si="127"/>
        <v>-1.6216029554356241E-2</v>
      </c>
      <c r="AF321" s="131"/>
      <c r="AG321" s="132"/>
      <c r="AH321" s="132"/>
      <c r="AI321" s="132"/>
      <c r="AJ321" s="132"/>
      <c r="AK321" s="132"/>
      <c r="AL321" s="111">
        <f t="shared" si="106"/>
        <v>-8.4830104606226087E-4</v>
      </c>
      <c r="AM321" s="111"/>
      <c r="AN321" s="111"/>
      <c r="AO321" s="111"/>
      <c r="AP321" s="111">
        <f t="shared" si="103"/>
        <v>-8.4830104606226087E-4</v>
      </c>
      <c r="AQ321" s="111"/>
      <c r="AR321" s="111">
        <f t="shared" si="117"/>
        <v>-8.4830104606226087E-4</v>
      </c>
      <c r="AS321" s="111"/>
      <c r="AT321" s="111">
        <v>0</v>
      </c>
      <c r="AU321" s="111">
        <f t="shared" si="124"/>
        <v>-8.4830104606226087E-4</v>
      </c>
      <c r="AV321" s="111"/>
      <c r="AW321" s="111"/>
      <c r="AX321" s="111"/>
      <c r="AY321" s="111"/>
      <c r="AZ321" s="111"/>
      <c r="BA321" s="85">
        <f t="shared" si="116"/>
        <v>0</v>
      </c>
      <c r="BB321" s="85"/>
      <c r="BC321" s="85"/>
      <c r="BD321" s="85"/>
      <c r="BE321" s="85"/>
      <c r="BF321" s="85"/>
      <c r="BG321" s="85"/>
      <c r="BH321" s="111">
        <f t="shared" si="114"/>
        <v>0</v>
      </c>
      <c r="BI321" s="111"/>
      <c r="BJ321" s="133">
        <f t="shared" si="128"/>
        <v>-1.8243033248650772E-2</v>
      </c>
      <c r="BK321" s="134"/>
      <c r="BL321" s="134"/>
      <c r="BM321" s="135"/>
      <c r="BN321" s="135"/>
      <c r="BO321" s="135"/>
      <c r="BP321" s="135"/>
      <c r="BQ321" s="114">
        <f t="shared" si="107"/>
        <v>-1.8243033248650772E-2</v>
      </c>
      <c r="BR321" s="114">
        <f t="shared" si="104"/>
        <v>-2.0849180855600884E-2</v>
      </c>
      <c r="BS321" s="136"/>
      <c r="BT321" s="136"/>
      <c r="BU321" s="136"/>
      <c r="BV321" s="115">
        <f t="shared" si="105"/>
        <v>-2.4324044331534362E-2</v>
      </c>
      <c r="BW321" s="115"/>
      <c r="BX321" s="116">
        <f t="shared" si="119"/>
        <v>-3.7702268713878259E-2</v>
      </c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>
        <v>0</v>
      </c>
      <c r="CL321" s="116"/>
      <c r="CM321" s="119"/>
    </row>
    <row r="322" spans="1:92" s="118" customFormat="1" ht="25.5" x14ac:dyDescent="0.2">
      <c r="B322" s="99">
        <f t="shared" si="115"/>
        <v>299</v>
      </c>
      <c r="C322" s="100" t="s">
        <v>515</v>
      </c>
      <c r="D322" s="101" t="s">
        <v>516</v>
      </c>
      <c r="E322" s="100" t="s">
        <v>95</v>
      </c>
      <c r="F322" s="100" t="s">
        <v>134</v>
      </c>
      <c r="G322" s="103">
        <v>43525</v>
      </c>
      <c r="H322" s="103" t="s">
        <v>510</v>
      </c>
      <c r="I322" s="104">
        <v>5000000</v>
      </c>
      <c r="J322" s="105">
        <v>7.7499999999999999E-2</v>
      </c>
      <c r="K322" s="105">
        <v>7.4999999999999997E-2</v>
      </c>
      <c r="L322" s="106">
        <v>0.9</v>
      </c>
      <c r="M322" s="107">
        <v>9</v>
      </c>
      <c r="N322" s="107">
        <v>4</v>
      </c>
      <c r="O322" s="106">
        <v>12</v>
      </c>
      <c r="P322" s="107">
        <f t="shared" si="110"/>
        <v>261562.5</v>
      </c>
      <c r="Q322" s="107">
        <f t="shared" si="111"/>
        <v>3033280.3294915948</v>
      </c>
      <c r="R322" s="107">
        <f t="shared" si="112"/>
        <v>158678.47723652906</v>
      </c>
      <c r="S322" s="107">
        <f t="shared" si="113"/>
        <v>102884.02276347094</v>
      </c>
      <c r="T322" s="108">
        <v>0.606656065898319</v>
      </c>
      <c r="U322" s="107"/>
      <c r="V322" s="106">
        <v>61422.76</v>
      </c>
      <c r="W322" s="107">
        <f t="shared" si="108"/>
        <v>3033280.3294915948</v>
      </c>
      <c r="X322" s="107">
        <f t="shared" si="108"/>
        <v>97255.717236529046</v>
      </c>
      <c r="Y322" s="109">
        <f t="shared" si="109"/>
        <v>3033280.3294915948</v>
      </c>
      <c r="Z322" s="109">
        <f t="shared" si="109"/>
        <v>97255.717236529046</v>
      </c>
      <c r="AA322" s="109"/>
      <c r="AB322" s="109"/>
      <c r="AC322" s="109">
        <f t="shared" si="120"/>
        <v>97255.717236529046</v>
      </c>
      <c r="AD322" s="110">
        <v>0</v>
      </c>
      <c r="AE322" s="110">
        <f t="shared" si="127"/>
        <v>1859129.6006982853</v>
      </c>
      <c r="AF322" s="110"/>
      <c r="AG322" s="111"/>
      <c r="AH322" s="111"/>
      <c r="AI322" s="111">
        <v>85036.88</v>
      </c>
      <c r="AJ322" s="111"/>
      <c r="AK322" s="111"/>
      <c r="AL322" s="111">
        <f t="shared" si="106"/>
        <v>12218.837236529042</v>
      </c>
      <c r="AM322" s="111"/>
      <c r="AN322" s="111"/>
      <c r="AO322" s="111"/>
      <c r="AP322" s="111">
        <f t="shared" si="103"/>
        <v>12218.837236529042</v>
      </c>
      <c r="AQ322" s="111"/>
      <c r="AR322" s="111">
        <f t="shared" si="117"/>
        <v>12218.837236529042</v>
      </c>
      <c r="AS322" s="111"/>
      <c r="AT322" s="111">
        <v>0</v>
      </c>
      <c r="AU322" s="111">
        <f t="shared" si="124"/>
        <v>12218.837236529042</v>
      </c>
      <c r="AV322" s="111"/>
      <c r="AW322" s="111"/>
      <c r="AX322" s="111"/>
      <c r="AY322" s="111">
        <v>0</v>
      </c>
      <c r="AZ322" s="111"/>
      <c r="BA322" s="85">
        <f t="shared" si="116"/>
        <v>0</v>
      </c>
      <c r="BB322" s="85"/>
      <c r="BC322" s="85"/>
      <c r="BD322" s="85"/>
      <c r="BE322" s="85"/>
      <c r="BF322" s="85"/>
      <c r="BG322" s="85"/>
      <c r="BH322" s="111">
        <f t="shared" si="114"/>
        <v>0</v>
      </c>
      <c r="BI322" s="111"/>
      <c r="BJ322" s="112">
        <f t="shared" si="128"/>
        <v>2091520.8007855709</v>
      </c>
      <c r="BK322" s="112"/>
      <c r="BL322" s="112"/>
      <c r="BM322" s="113"/>
      <c r="BN322" s="112">
        <v>2090000</v>
      </c>
      <c r="BO322" s="112"/>
      <c r="BP322" s="112"/>
      <c r="BQ322" s="114">
        <f t="shared" si="107"/>
        <v>1520.8007855708711</v>
      </c>
      <c r="BR322" s="114">
        <f t="shared" si="104"/>
        <v>300309.36372421606</v>
      </c>
      <c r="BS322" s="98"/>
      <c r="BT322" s="98"/>
      <c r="BU322" s="98"/>
      <c r="BV322" s="115">
        <f t="shared" si="105"/>
        <v>350360.92434491875</v>
      </c>
      <c r="BW322" s="115"/>
      <c r="BX322" s="116">
        <f t="shared" si="119"/>
        <v>543059.43273462413</v>
      </c>
      <c r="BY322" s="116">
        <v>0</v>
      </c>
      <c r="BZ322" s="116"/>
      <c r="CA322" s="116"/>
      <c r="CB322" s="116"/>
      <c r="CC322" s="116"/>
      <c r="CD322" s="116">
        <v>0</v>
      </c>
      <c r="CE322" s="116"/>
      <c r="CF322" s="116"/>
      <c r="CG322" s="116"/>
      <c r="CH322" s="116"/>
      <c r="CI322" s="116"/>
      <c r="CJ322" s="116"/>
      <c r="CK322" s="116">
        <v>0</v>
      </c>
      <c r="CL322" s="116"/>
      <c r="CM322" s="117" t="s">
        <v>517</v>
      </c>
      <c r="CN322" s="118" t="s">
        <v>95</v>
      </c>
    </row>
    <row r="323" spans="1:92" s="120" customFormat="1" ht="21" customHeight="1" x14ac:dyDescent="0.2">
      <c r="B323" s="99">
        <f t="shared" si="115"/>
        <v>300</v>
      </c>
      <c r="C323" s="122" t="s">
        <v>515</v>
      </c>
      <c r="D323" s="123" t="s">
        <v>516</v>
      </c>
      <c r="E323" s="122" t="s">
        <v>151</v>
      </c>
      <c r="F323" s="100" t="s">
        <v>134</v>
      </c>
      <c r="G323" s="124">
        <v>43739</v>
      </c>
      <c r="H323" s="124">
        <v>43739</v>
      </c>
      <c r="I323" s="125">
        <v>5000000</v>
      </c>
      <c r="J323" s="126">
        <v>7.7499999999999999E-2</v>
      </c>
      <c r="K323" s="105">
        <v>7.4999999999999997E-2</v>
      </c>
      <c r="L323" s="127">
        <v>0.9</v>
      </c>
      <c r="M323" s="128">
        <v>2</v>
      </c>
      <c r="N323" s="128">
        <v>2</v>
      </c>
      <c r="O323" s="127">
        <v>12</v>
      </c>
      <c r="P323" s="128">
        <f t="shared" si="110"/>
        <v>58125</v>
      </c>
      <c r="Q323" s="128">
        <f t="shared" si="111"/>
        <v>3033280.3294915948</v>
      </c>
      <c r="R323" s="128">
        <f t="shared" si="112"/>
        <v>35261.883830339786</v>
      </c>
      <c r="S323" s="128">
        <f t="shared" si="113"/>
        <v>22863.116169660214</v>
      </c>
      <c r="T323" s="129">
        <v>0.606656065898319</v>
      </c>
      <c r="U323" s="128"/>
      <c r="V323" s="127">
        <v>35261.879999999997</v>
      </c>
      <c r="W323" s="128">
        <f t="shared" si="108"/>
        <v>3033280.3294915948</v>
      </c>
      <c r="X323" s="128">
        <f t="shared" si="108"/>
        <v>3.830339788692072E-3</v>
      </c>
      <c r="Y323" s="130">
        <f t="shared" si="109"/>
        <v>3033280.3294915948</v>
      </c>
      <c r="Z323" s="130">
        <f t="shared" si="109"/>
        <v>3.830339788692072E-3</v>
      </c>
      <c r="AA323" s="130"/>
      <c r="AB323" s="130"/>
      <c r="AC323" s="130">
        <f t="shared" si="120"/>
        <v>3.830339788692072E-3</v>
      </c>
      <c r="AD323" s="131">
        <v>0</v>
      </c>
      <c r="AE323" s="131">
        <f t="shared" si="127"/>
        <v>7.3220354383599945E-2</v>
      </c>
      <c r="AF323" s="131"/>
      <c r="AG323" s="132"/>
      <c r="AH323" s="132"/>
      <c r="AI323" s="132"/>
      <c r="AJ323" s="132"/>
      <c r="AK323" s="132"/>
      <c r="AL323" s="111">
        <f t="shared" si="106"/>
        <v>3.830339788692072E-3</v>
      </c>
      <c r="AM323" s="111"/>
      <c r="AN323" s="111"/>
      <c r="AO323" s="111"/>
      <c r="AP323" s="111">
        <f t="shared" si="103"/>
        <v>3.830339788692072E-3</v>
      </c>
      <c r="AQ323" s="111"/>
      <c r="AR323" s="111">
        <f t="shared" si="117"/>
        <v>3.830339788692072E-3</v>
      </c>
      <c r="AS323" s="111"/>
      <c r="AT323" s="111">
        <v>0</v>
      </c>
      <c r="AU323" s="111">
        <f t="shared" si="124"/>
        <v>3.830339788692072E-3</v>
      </c>
      <c r="AV323" s="111"/>
      <c r="AW323" s="111"/>
      <c r="AX323" s="111"/>
      <c r="AY323" s="111">
        <v>56250</v>
      </c>
      <c r="AZ323" s="111"/>
      <c r="BA323" s="111">
        <f t="shared" si="116"/>
        <v>56250</v>
      </c>
      <c r="BB323" s="111"/>
      <c r="BC323" s="111"/>
      <c r="BD323" s="111"/>
      <c r="BE323" s="111">
        <v>83126.710000000006</v>
      </c>
      <c r="BF323" s="111"/>
      <c r="BG323" s="111"/>
      <c r="BH323" s="111">
        <f t="shared" si="114"/>
        <v>-26876.710000000006</v>
      </c>
      <c r="BI323" s="111">
        <v>0</v>
      </c>
      <c r="BJ323" s="112">
        <f t="shared" si="128"/>
        <v>8.2372898681549941E-2</v>
      </c>
      <c r="BK323" s="134"/>
      <c r="BL323" s="134"/>
      <c r="BM323" s="135"/>
      <c r="BN323" s="135"/>
      <c r="BO323" s="135"/>
      <c r="BP323" s="135"/>
      <c r="BQ323" s="114">
        <f t="shared" si="107"/>
        <v>8.2372898681549941E-2</v>
      </c>
      <c r="BR323" s="114">
        <f t="shared" si="104"/>
        <v>9.4140455636057066E-2</v>
      </c>
      <c r="BS323" s="136"/>
      <c r="BT323" s="136"/>
      <c r="BU323" s="136"/>
      <c r="BV323" s="115">
        <f t="shared" si="105"/>
        <v>0.10983053157539992</v>
      </c>
      <c r="BW323" s="115"/>
      <c r="BX323" s="116">
        <f t="shared" si="119"/>
        <v>0.17023732394186986</v>
      </c>
      <c r="BY323" s="116"/>
      <c r="BZ323" s="116"/>
      <c r="CA323" s="116"/>
      <c r="CB323" s="116"/>
      <c r="CC323" s="116"/>
      <c r="CD323" s="116">
        <v>5000000</v>
      </c>
      <c r="CE323" s="116"/>
      <c r="CF323" s="116"/>
      <c r="CG323" s="116"/>
      <c r="CH323" s="116">
        <v>5000000</v>
      </c>
      <c r="CI323" s="116"/>
      <c r="CJ323" s="116"/>
      <c r="CK323" s="116">
        <v>0</v>
      </c>
      <c r="CL323" s="116">
        <v>5000000</v>
      </c>
      <c r="CM323" s="119" t="s">
        <v>105</v>
      </c>
      <c r="CN323" s="122" t="s">
        <v>109</v>
      </c>
    </row>
    <row r="324" spans="1:92" s="120" customFormat="1" ht="19.5" customHeight="1" x14ac:dyDescent="0.2">
      <c r="B324" s="99">
        <f t="shared" si="115"/>
        <v>301</v>
      </c>
      <c r="C324" s="122" t="s">
        <v>515</v>
      </c>
      <c r="D324" s="123" t="s">
        <v>516</v>
      </c>
      <c r="E324" s="122" t="s">
        <v>151</v>
      </c>
      <c r="F324" s="100" t="s">
        <v>134</v>
      </c>
      <c r="G324" s="124">
        <v>43770</v>
      </c>
      <c r="H324" s="124">
        <v>43770</v>
      </c>
      <c r="I324" s="125">
        <v>5000000</v>
      </c>
      <c r="J324" s="126">
        <v>7.7499999999999999E-2</v>
      </c>
      <c r="K324" s="105">
        <v>7.4999999999999997E-2</v>
      </c>
      <c r="L324" s="127">
        <v>0.9</v>
      </c>
      <c r="M324" s="128">
        <v>1</v>
      </c>
      <c r="N324" s="128">
        <v>1</v>
      </c>
      <c r="O324" s="127">
        <v>12</v>
      </c>
      <c r="P324" s="128">
        <f t="shared" si="110"/>
        <v>29062.5</v>
      </c>
      <c r="Q324" s="128">
        <f t="shared" si="111"/>
        <v>3033280.3294915948</v>
      </c>
      <c r="R324" s="128">
        <f t="shared" si="112"/>
        <v>17630.941915169893</v>
      </c>
      <c r="S324" s="128">
        <f t="shared" si="113"/>
        <v>11431.558084830107</v>
      </c>
      <c r="T324" s="129">
        <v>0.606656065898319</v>
      </c>
      <c r="U324" s="128"/>
      <c r="V324" s="127">
        <v>17630.939999999999</v>
      </c>
      <c r="W324" s="128">
        <f t="shared" si="108"/>
        <v>3033280.3294915948</v>
      </c>
      <c r="X324" s="128">
        <f t="shared" si="108"/>
        <v>1.915169894346036E-3</v>
      </c>
      <c r="Y324" s="130">
        <f t="shared" si="109"/>
        <v>3033280.3294915948</v>
      </c>
      <c r="Z324" s="130">
        <f t="shared" si="109"/>
        <v>1.915169894346036E-3</v>
      </c>
      <c r="AA324" s="130"/>
      <c r="AB324" s="130"/>
      <c r="AC324" s="130">
        <f t="shared" si="120"/>
        <v>1.915169894346036E-3</v>
      </c>
      <c r="AD324" s="131">
        <v>0</v>
      </c>
      <c r="AE324" s="131">
        <f t="shared" si="127"/>
        <v>3.6610177191799972E-2</v>
      </c>
      <c r="AF324" s="131"/>
      <c r="AG324" s="132"/>
      <c r="AH324" s="132"/>
      <c r="AI324" s="132"/>
      <c r="AJ324" s="132"/>
      <c r="AK324" s="132"/>
      <c r="AL324" s="111">
        <f t="shared" si="106"/>
        <v>1.915169894346036E-3</v>
      </c>
      <c r="AM324" s="111"/>
      <c r="AN324" s="111"/>
      <c r="AO324" s="111"/>
      <c r="AP324" s="111">
        <f t="shared" si="103"/>
        <v>1.915169894346036E-3</v>
      </c>
      <c r="AQ324" s="111"/>
      <c r="AR324" s="111">
        <f t="shared" si="117"/>
        <v>1.915169894346036E-3</v>
      </c>
      <c r="AS324" s="111"/>
      <c r="AT324" s="111">
        <v>0</v>
      </c>
      <c r="AU324" s="111">
        <f t="shared" si="124"/>
        <v>1.915169894346036E-3</v>
      </c>
      <c r="AV324" s="111"/>
      <c r="AW324" s="111"/>
      <c r="AX324" s="111"/>
      <c r="AY324" s="111">
        <f>CD324*K324*L324*N324/O324</f>
        <v>28125</v>
      </c>
      <c r="AZ324" s="111"/>
      <c r="BA324" s="111">
        <f t="shared" si="116"/>
        <v>28125</v>
      </c>
      <c r="BB324" s="111"/>
      <c r="BC324" s="111"/>
      <c r="BD324" s="111"/>
      <c r="BE324" s="111">
        <v>64356.160000000003</v>
      </c>
      <c r="BF324" s="111"/>
      <c r="BG324" s="111"/>
      <c r="BH324" s="111">
        <f t="shared" si="114"/>
        <v>-36231.160000000003</v>
      </c>
      <c r="BI324" s="111">
        <v>0</v>
      </c>
      <c r="BJ324" s="112">
        <f t="shared" si="128"/>
        <v>4.1186449340774971E-2</v>
      </c>
      <c r="BK324" s="134"/>
      <c r="BL324" s="134"/>
      <c r="BM324" s="135"/>
      <c r="BN324" s="135"/>
      <c r="BO324" s="135"/>
      <c r="BP324" s="135"/>
      <c r="BQ324" s="114">
        <f t="shared" si="107"/>
        <v>4.1186449340774971E-2</v>
      </c>
      <c r="BR324" s="114">
        <f t="shared" si="104"/>
        <v>4.7070227818028533E-2</v>
      </c>
      <c r="BS324" s="136"/>
      <c r="BT324" s="136"/>
      <c r="BU324" s="136"/>
      <c r="BV324" s="115">
        <f t="shared" si="105"/>
        <v>5.4915265787699959E-2</v>
      </c>
      <c r="BW324" s="115"/>
      <c r="BX324" s="116">
        <f t="shared" si="119"/>
        <v>8.5118661970934928E-2</v>
      </c>
      <c r="BY324" s="116"/>
      <c r="BZ324" s="116"/>
      <c r="CA324" s="116"/>
      <c r="CB324" s="116"/>
      <c r="CC324" s="116"/>
      <c r="CD324" s="116">
        <v>5000000</v>
      </c>
      <c r="CE324" s="116"/>
      <c r="CF324" s="116"/>
      <c r="CG324" s="116"/>
      <c r="CH324" s="116">
        <v>5000000</v>
      </c>
      <c r="CI324" s="116"/>
      <c r="CJ324" s="116"/>
      <c r="CK324" s="116">
        <v>0</v>
      </c>
      <c r="CL324" s="116">
        <v>5000000</v>
      </c>
      <c r="CM324" s="119" t="s">
        <v>105</v>
      </c>
      <c r="CN324" s="122" t="s">
        <v>109</v>
      </c>
    </row>
    <row r="325" spans="1:92" s="174" customFormat="1" x14ac:dyDescent="0.2">
      <c r="B325" s="145">
        <f t="shared" si="115"/>
        <v>302</v>
      </c>
      <c r="C325" s="204" t="s">
        <v>515</v>
      </c>
      <c r="D325" s="224" t="s">
        <v>516</v>
      </c>
      <c r="E325" s="204" t="s">
        <v>151</v>
      </c>
      <c r="F325" s="148" t="s">
        <v>134</v>
      </c>
      <c r="G325" s="205">
        <v>43800</v>
      </c>
      <c r="H325" s="205">
        <v>43800</v>
      </c>
      <c r="I325" s="206">
        <v>5000000</v>
      </c>
      <c r="J325" s="207">
        <v>7.7499999999999999E-2</v>
      </c>
      <c r="K325" s="151">
        <v>7.2499999999999995E-2</v>
      </c>
      <c r="L325" s="220">
        <v>0.9</v>
      </c>
      <c r="M325" s="208">
        <v>0</v>
      </c>
      <c r="N325" s="208">
        <v>0</v>
      </c>
      <c r="O325" s="220">
        <v>12</v>
      </c>
      <c r="P325" s="208">
        <f t="shared" si="110"/>
        <v>0</v>
      </c>
      <c r="Q325" s="208">
        <f t="shared" si="111"/>
        <v>3033280.3294915948</v>
      </c>
      <c r="R325" s="208">
        <f t="shared" si="112"/>
        <v>0</v>
      </c>
      <c r="S325" s="208">
        <f t="shared" si="113"/>
        <v>0</v>
      </c>
      <c r="T325" s="209">
        <v>0.606656065898319</v>
      </c>
      <c r="U325" s="208"/>
      <c r="V325" s="220"/>
      <c r="W325" s="208">
        <f t="shared" si="108"/>
        <v>3033280.3294915948</v>
      </c>
      <c r="X325" s="208">
        <f t="shared" si="108"/>
        <v>0</v>
      </c>
      <c r="Y325" s="210">
        <f t="shared" si="109"/>
        <v>3033280.3294915948</v>
      </c>
      <c r="Z325" s="210">
        <f t="shared" si="109"/>
        <v>0</v>
      </c>
      <c r="AA325" s="210"/>
      <c r="AB325" s="210"/>
      <c r="AC325" s="210">
        <f t="shared" si="120"/>
        <v>0</v>
      </c>
      <c r="AD325" s="211">
        <v>0</v>
      </c>
      <c r="AE325" s="211">
        <f t="shared" si="127"/>
        <v>0</v>
      </c>
      <c r="AF325" s="211"/>
      <c r="AG325" s="198"/>
      <c r="AH325" s="198"/>
      <c r="AI325" s="198"/>
      <c r="AJ325" s="198"/>
      <c r="AK325" s="198"/>
      <c r="AL325" s="83">
        <f t="shared" si="106"/>
        <v>0</v>
      </c>
      <c r="AM325" s="83"/>
      <c r="AN325" s="83"/>
      <c r="AO325" s="83"/>
      <c r="AP325" s="83">
        <f t="shared" si="103"/>
        <v>0</v>
      </c>
      <c r="AQ325" s="83"/>
      <c r="AR325" s="83">
        <f t="shared" si="117"/>
        <v>0</v>
      </c>
      <c r="AS325" s="83"/>
      <c r="AT325" s="83">
        <v>0</v>
      </c>
      <c r="AU325" s="83">
        <f t="shared" si="124"/>
        <v>0</v>
      </c>
      <c r="AV325" s="83"/>
      <c r="AW325" s="83"/>
      <c r="AX325" s="83"/>
      <c r="AY325" s="83">
        <f>CD325*K325*L325*N325/O325</f>
        <v>0</v>
      </c>
      <c r="AZ325" s="83"/>
      <c r="BA325" s="83">
        <f t="shared" si="116"/>
        <v>0</v>
      </c>
      <c r="BB325" s="83"/>
      <c r="BC325" s="83"/>
      <c r="BD325" s="83"/>
      <c r="BE325" s="83"/>
      <c r="BF325" s="83"/>
      <c r="BG325" s="83"/>
      <c r="BH325" s="83">
        <f t="shared" si="114"/>
        <v>0</v>
      </c>
      <c r="BI325" s="83">
        <f>CK325*K325*L325*N325/O325</f>
        <v>0</v>
      </c>
      <c r="BJ325" s="159">
        <f t="shared" si="128"/>
        <v>0</v>
      </c>
      <c r="BK325" s="213"/>
      <c r="BL325" s="213"/>
      <c r="BM325" s="214"/>
      <c r="BN325" s="214"/>
      <c r="BO325" s="214"/>
      <c r="BP325" s="214"/>
      <c r="BQ325" s="160">
        <f t="shared" si="107"/>
        <v>0</v>
      </c>
      <c r="BR325" s="160">
        <f t="shared" si="104"/>
        <v>0</v>
      </c>
      <c r="BS325" s="215"/>
      <c r="BT325" s="215"/>
      <c r="BU325" s="215"/>
      <c r="BV325" s="162">
        <f t="shared" si="105"/>
        <v>0</v>
      </c>
      <c r="BW325" s="162"/>
      <c r="BX325" s="95">
        <f t="shared" si="119"/>
        <v>0</v>
      </c>
      <c r="BY325" s="95"/>
      <c r="BZ325" s="95"/>
      <c r="CA325" s="95"/>
      <c r="CB325" s="95"/>
      <c r="CC325" s="95"/>
      <c r="CD325" s="95">
        <v>5000000</v>
      </c>
      <c r="CE325" s="95"/>
      <c r="CF325" s="95"/>
      <c r="CG325" s="95"/>
      <c r="CH325" s="95"/>
      <c r="CI325" s="95"/>
      <c r="CJ325" s="95"/>
      <c r="CK325" s="95">
        <v>5000000</v>
      </c>
      <c r="CL325" s="95">
        <v>5000000</v>
      </c>
      <c r="CM325" s="216"/>
      <c r="CN325" s="148"/>
    </row>
    <row r="326" spans="1:92" s="120" customFormat="1" ht="25.5" x14ac:dyDescent="0.2">
      <c r="A326" s="120">
        <f>A321+1</f>
        <v>157</v>
      </c>
      <c r="B326" s="99">
        <f t="shared" si="115"/>
        <v>303</v>
      </c>
      <c r="C326" s="122" t="s">
        <v>518</v>
      </c>
      <c r="D326" s="123" t="s">
        <v>519</v>
      </c>
      <c r="E326" s="122" t="s">
        <v>95</v>
      </c>
      <c r="F326" s="100" t="s">
        <v>134</v>
      </c>
      <c r="G326" s="124">
        <v>43466</v>
      </c>
      <c r="H326" s="124">
        <v>43466</v>
      </c>
      <c r="I326" s="125">
        <v>22000000</v>
      </c>
      <c r="J326" s="126">
        <v>7.7499999999999999E-2</v>
      </c>
      <c r="K326" s="105">
        <v>7.4999999999999997E-2</v>
      </c>
      <c r="L326" s="127">
        <v>0.9</v>
      </c>
      <c r="M326" s="128">
        <v>10</v>
      </c>
      <c r="N326" s="128"/>
      <c r="O326" s="127">
        <v>12</v>
      </c>
      <c r="P326" s="128">
        <f t="shared" si="110"/>
        <v>1278750</v>
      </c>
      <c r="Q326" s="128">
        <f t="shared" si="111"/>
        <v>13346433.449763019</v>
      </c>
      <c r="R326" s="128">
        <f t="shared" si="112"/>
        <v>775761.44426747551</v>
      </c>
      <c r="S326" s="128">
        <f t="shared" si="113"/>
        <v>502988.55573252449</v>
      </c>
      <c r="T326" s="129">
        <v>0.606656065898319</v>
      </c>
      <c r="U326" s="172">
        <v>13346433.449999999</v>
      </c>
      <c r="V326" s="141">
        <v>775761.44</v>
      </c>
      <c r="W326" s="128">
        <v>-8653566.5500000007</v>
      </c>
      <c r="X326" s="128">
        <v>-502988.56</v>
      </c>
      <c r="Y326" s="130">
        <f t="shared" si="109"/>
        <v>-8653566.5500000007</v>
      </c>
      <c r="Z326" s="130">
        <f t="shared" si="109"/>
        <v>-502988.56</v>
      </c>
      <c r="AA326" s="130"/>
      <c r="AB326" s="130"/>
      <c r="AC326" s="130">
        <f t="shared" si="120"/>
        <v>-502988.56</v>
      </c>
      <c r="AD326" s="131">
        <v>-17773693.759457152</v>
      </c>
      <c r="AE326" s="131">
        <f t="shared" si="127"/>
        <v>-9615074.0262843482</v>
      </c>
      <c r="AF326" s="131"/>
      <c r="AG326" s="132"/>
      <c r="AH326" s="132"/>
      <c r="AI326" s="132"/>
      <c r="AJ326" s="132"/>
      <c r="AK326" s="132"/>
      <c r="AL326" s="111">
        <f t="shared" si="106"/>
        <v>-502988.56</v>
      </c>
      <c r="AM326" s="111"/>
      <c r="AN326" s="111"/>
      <c r="AO326" s="111"/>
      <c r="AP326" s="111">
        <f t="shared" si="103"/>
        <v>-502988.56</v>
      </c>
      <c r="AQ326" s="111"/>
      <c r="AR326" s="111">
        <f t="shared" si="117"/>
        <v>-502988.56</v>
      </c>
      <c r="AS326" s="111"/>
      <c r="AT326" s="111">
        <v>0</v>
      </c>
      <c r="AU326" s="111">
        <f t="shared" si="124"/>
        <v>-502988.56</v>
      </c>
      <c r="AV326" s="111"/>
      <c r="AW326" s="111"/>
      <c r="AX326" s="111"/>
      <c r="AY326" s="111"/>
      <c r="AZ326" s="111"/>
      <c r="BA326" s="111">
        <f t="shared" si="116"/>
        <v>0</v>
      </c>
      <c r="BB326" s="111"/>
      <c r="BC326" s="111"/>
      <c r="BD326" s="111"/>
      <c r="BE326" s="111"/>
      <c r="BF326" s="111"/>
      <c r="BG326" s="111"/>
      <c r="BH326" s="111">
        <f t="shared" ref="BH326:BH328" si="130">BA326-BB326-BC326-BD326-BE326-BF326-BG326</f>
        <v>0</v>
      </c>
      <c r="BI326" s="111">
        <v>0</v>
      </c>
      <c r="BJ326" s="133">
        <f t="shared" si="128"/>
        <v>-10816958.279569892</v>
      </c>
      <c r="BK326" s="134"/>
      <c r="BL326" s="134"/>
      <c r="BM326" s="135"/>
      <c r="BN326" s="135"/>
      <c r="BO326" s="135"/>
      <c r="BP326" s="135"/>
      <c r="BQ326" s="114">
        <f t="shared" si="107"/>
        <v>-10816958.279569892</v>
      </c>
      <c r="BR326" s="114">
        <f t="shared" si="104"/>
        <v>-12362238.033794161</v>
      </c>
      <c r="BS326" s="136"/>
      <c r="BT326" s="136"/>
      <c r="BU326" s="136"/>
      <c r="BV326" s="115">
        <f t="shared" si="105"/>
        <v>-14422611.039426522</v>
      </c>
      <c r="BW326" s="115"/>
      <c r="BX326" s="116">
        <f t="shared" si="119"/>
        <v>-22355047.111111112</v>
      </c>
      <c r="BY326" s="142"/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>
        <v>0</v>
      </c>
      <c r="CL326" s="116"/>
      <c r="CM326" s="119"/>
    </row>
    <row r="327" spans="1:92" s="120" customFormat="1" ht="25.5" x14ac:dyDescent="0.2">
      <c r="B327" s="99">
        <f t="shared" si="115"/>
        <v>304</v>
      </c>
      <c r="C327" s="179" t="s">
        <v>518</v>
      </c>
      <c r="D327" s="180" t="s">
        <v>519</v>
      </c>
      <c r="E327" s="179" t="s">
        <v>95</v>
      </c>
      <c r="F327" s="179" t="s">
        <v>134</v>
      </c>
      <c r="G327" s="173">
        <v>43497</v>
      </c>
      <c r="H327" s="173">
        <v>43497</v>
      </c>
      <c r="I327" s="181">
        <v>12000000</v>
      </c>
      <c r="J327" s="182">
        <v>7.7499999999999999E-2</v>
      </c>
      <c r="K327" s="182">
        <v>7.4999999999999997E-2</v>
      </c>
      <c r="L327" s="183">
        <v>0.9</v>
      </c>
      <c r="M327" s="184">
        <v>10</v>
      </c>
      <c r="N327" s="184"/>
      <c r="O327" s="183">
        <v>12</v>
      </c>
      <c r="P327" s="184">
        <f t="shared" si="110"/>
        <v>697500</v>
      </c>
      <c r="Q327" s="184">
        <f t="shared" si="111"/>
        <v>7279872.7907798281</v>
      </c>
      <c r="R327" s="184">
        <f t="shared" si="112"/>
        <v>423142.60596407746</v>
      </c>
      <c r="S327" s="184">
        <f t="shared" si="113"/>
        <v>274357.39403592254</v>
      </c>
      <c r="T327" s="185">
        <v>0.606656065898319</v>
      </c>
      <c r="U327" s="335">
        <f>22000000-U326</f>
        <v>8653566.5500000007</v>
      </c>
      <c r="V327" s="336">
        <f>1278750-V326</f>
        <v>502988.56000000006</v>
      </c>
      <c r="W327" s="184">
        <v>-9120127.2100000009</v>
      </c>
      <c r="X327" s="184">
        <v>-530107.39</v>
      </c>
      <c r="Y327" s="186">
        <f t="shared" si="109"/>
        <v>-9120127.2100000009</v>
      </c>
      <c r="Z327" s="186">
        <f t="shared" si="109"/>
        <v>-530107.39</v>
      </c>
      <c r="AA327" s="186"/>
      <c r="AB327" s="186"/>
      <c r="AC327" s="186">
        <f t="shared" si="120"/>
        <v>-530107.39</v>
      </c>
      <c r="AD327" s="187">
        <v>0</v>
      </c>
      <c r="AE327" s="187">
        <f>Z327/J327/L327/10*O327</f>
        <v>-9120127.139784947</v>
      </c>
      <c r="AF327" s="187"/>
      <c r="AG327" s="188"/>
      <c r="AH327" s="188"/>
      <c r="AI327" s="188"/>
      <c r="AJ327" s="188"/>
      <c r="AK327" s="188"/>
      <c r="AL327" s="188">
        <f t="shared" si="106"/>
        <v>-530107.39</v>
      </c>
      <c r="AM327" s="188"/>
      <c r="AN327" s="188"/>
      <c r="AO327" s="188"/>
      <c r="AP327" s="188">
        <f t="shared" si="103"/>
        <v>-530107.39</v>
      </c>
      <c r="AQ327" s="188"/>
      <c r="AR327" s="188">
        <f t="shared" si="117"/>
        <v>-530107.39</v>
      </c>
      <c r="AS327" s="188"/>
      <c r="AT327" s="188">
        <v>0</v>
      </c>
      <c r="AU327" s="188"/>
      <c r="AV327" s="188"/>
      <c r="AW327" s="188"/>
      <c r="AX327" s="188"/>
      <c r="AY327" s="188"/>
      <c r="AZ327" s="188"/>
      <c r="BA327" s="111">
        <f t="shared" si="116"/>
        <v>0</v>
      </c>
      <c r="BB327" s="111"/>
      <c r="BC327" s="111"/>
      <c r="BD327" s="111"/>
      <c r="BE327" s="111"/>
      <c r="BF327" s="111"/>
      <c r="BG327" s="111"/>
      <c r="BH327" s="111">
        <f t="shared" si="130"/>
        <v>0</v>
      </c>
      <c r="BI327" s="111"/>
      <c r="BJ327" s="189">
        <f t="shared" si="128"/>
        <v>-11400158.924731184</v>
      </c>
      <c r="BK327" s="189"/>
      <c r="BL327" s="189"/>
      <c r="BM327" s="190"/>
      <c r="BN327" s="190"/>
      <c r="BO327" s="190"/>
      <c r="BP327" s="190"/>
      <c r="BQ327" s="191">
        <f t="shared" si="107"/>
        <v>-11400158.924731184</v>
      </c>
      <c r="BR327" s="191">
        <f t="shared" si="104"/>
        <v>-13028753.056835638</v>
      </c>
      <c r="BS327" s="192"/>
      <c r="BT327" s="192"/>
      <c r="BU327" s="192"/>
      <c r="BV327" s="193">
        <f t="shared" si="105"/>
        <v>-15200211.899641577</v>
      </c>
      <c r="BW327" s="193"/>
      <c r="BX327" s="194">
        <f t="shared" si="119"/>
        <v>-23560328.444444448</v>
      </c>
      <c r="BY327" s="194">
        <v>-1373693.7592201736</v>
      </c>
      <c r="BZ327" s="194"/>
      <c r="CA327" s="194"/>
      <c r="CB327" s="194"/>
      <c r="CC327" s="194"/>
      <c r="CD327" s="194"/>
      <c r="CE327" s="194"/>
      <c r="CF327" s="194"/>
      <c r="CG327" s="194"/>
      <c r="CH327" s="194"/>
      <c r="CI327" s="194"/>
      <c r="CJ327" s="194"/>
      <c r="CK327" s="194">
        <v>0</v>
      </c>
      <c r="CL327" s="194"/>
      <c r="CM327" s="119"/>
    </row>
    <row r="328" spans="1:92" hidden="1" x14ac:dyDescent="0.2">
      <c r="B328" s="337"/>
      <c r="C328" s="376" t="s">
        <v>532</v>
      </c>
      <c r="D328" s="338"/>
      <c r="E328" s="236"/>
      <c r="F328" s="236"/>
      <c r="G328" s="236"/>
      <c r="H328" s="236"/>
      <c r="I328" s="339">
        <f>SUM(I8:I327)</f>
        <v>3882200000</v>
      </c>
      <c r="J328" s="340"/>
      <c r="K328" s="340"/>
      <c r="L328" s="340"/>
      <c r="M328" s="340"/>
      <c r="N328" s="340"/>
      <c r="O328" s="340"/>
      <c r="P328" s="339">
        <f>SUM(P8:P327)</f>
        <v>158019206.25</v>
      </c>
      <c r="Q328" s="340">
        <f>SUM(Q8:Q327)</f>
        <v>2343027057.7124891</v>
      </c>
      <c r="R328" s="340">
        <f>SUM(R8:R327)</f>
        <v>95863310.000000089</v>
      </c>
      <c r="S328" s="340">
        <f>SUM(S8:S327)</f>
        <v>62155896.24999994</v>
      </c>
      <c r="T328" s="341" t="s">
        <v>92</v>
      </c>
      <c r="U328" s="340">
        <f t="shared" ref="U328:BG328" si="131">SUM(U8:U327)</f>
        <v>626840000</v>
      </c>
      <c r="V328" s="340">
        <f t="shared" si="131"/>
        <v>36398290</v>
      </c>
      <c r="W328" s="339">
        <f t="shared" si="131"/>
        <v>1711920179.031944</v>
      </c>
      <c r="X328" s="340">
        <f t="shared" si="131"/>
        <v>58511769.999768488</v>
      </c>
      <c r="Y328" s="340">
        <f t="shared" si="131"/>
        <v>1711920179.031944</v>
      </c>
      <c r="Z328" s="340">
        <f t="shared" si="131"/>
        <v>58194413.045295455</v>
      </c>
      <c r="AA328" s="340">
        <f t="shared" si="131"/>
        <v>34214060.670000002</v>
      </c>
      <c r="AB328" s="340">
        <f t="shared" si="131"/>
        <v>3953961.31</v>
      </c>
      <c r="AC328" s="340">
        <f t="shared" si="131"/>
        <v>17478575.994317308</v>
      </c>
      <c r="AD328" s="340">
        <f t="shared" si="131"/>
        <v>322886566.11508816</v>
      </c>
      <c r="AE328" s="340">
        <f t="shared" si="131"/>
        <v>335131884.98575473</v>
      </c>
      <c r="AF328" s="340">
        <f t="shared" si="131"/>
        <v>675218.13</v>
      </c>
      <c r="AG328" s="340">
        <f t="shared" si="131"/>
        <v>-4112385.56</v>
      </c>
      <c r="AH328" s="340">
        <f t="shared" si="131"/>
        <v>878850</v>
      </c>
      <c r="AI328" s="342">
        <f t="shared" si="131"/>
        <v>4828460.4799999995</v>
      </c>
      <c r="AJ328" s="342">
        <f t="shared" si="131"/>
        <v>27990.78</v>
      </c>
      <c r="AK328" s="342">
        <f t="shared" si="131"/>
        <v>821953.1100000001</v>
      </c>
      <c r="AL328" s="340">
        <f t="shared" si="131"/>
        <v>6133717.9343172954</v>
      </c>
      <c r="AM328" s="340">
        <f t="shared" si="131"/>
        <v>0</v>
      </c>
      <c r="AN328" s="340">
        <f t="shared" si="131"/>
        <v>1913722.15</v>
      </c>
      <c r="AO328" s="340">
        <f t="shared" si="131"/>
        <v>52312.5</v>
      </c>
      <c r="AP328" s="340">
        <f t="shared" si="131"/>
        <v>3561798.8379680216</v>
      </c>
      <c r="AQ328" s="340">
        <f t="shared" si="131"/>
        <v>1926030.14</v>
      </c>
      <c r="AR328" s="340">
        <f t="shared" si="131"/>
        <v>1740983.2662584321</v>
      </c>
      <c r="AS328" s="340">
        <f t="shared" si="131"/>
        <v>-995725.99999999988</v>
      </c>
      <c r="AT328" s="340">
        <f t="shared" si="131"/>
        <v>4526037.76865</v>
      </c>
      <c r="AU328" s="343">
        <f t="shared" si="131"/>
        <v>7334787.2060005497</v>
      </c>
      <c r="AV328" s="343">
        <f t="shared" si="131"/>
        <v>56250</v>
      </c>
      <c r="AW328" s="343">
        <f t="shared" si="131"/>
        <v>473494.1</v>
      </c>
      <c r="AX328" s="343">
        <f t="shared" si="131"/>
        <v>575315.42000000004</v>
      </c>
      <c r="AY328" s="343">
        <f t="shared" si="131"/>
        <v>8894256.2809750009</v>
      </c>
      <c r="AZ328" s="343">
        <f t="shared" si="131"/>
        <v>2845084.13</v>
      </c>
      <c r="BA328" s="343">
        <f t="shared" si="131"/>
        <v>17157728.291808333</v>
      </c>
      <c r="BB328" s="343">
        <f t="shared" si="131"/>
        <v>488157.53</v>
      </c>
      <c r="BC328" s="343">
        <f t="shared" si="131"/>
        <v>967533.11</v>
      </c>
      <c r="BD328" s="343">
        <f t="shared" si="131"/>
        <v>3814321.11</v>
      </c>
      <c r="BE328" s="343">
        <f t="shared" si="131"/>
        <v>1595496.5599999998</v>
      </c>
      <c r="BF328" s="343">
        <f t="shared" si="131"/>
        <v>775659.38</v>
      </c>
      <c r="BG328" s="343">
        <f t="shared" si="131"/>
        <v>4369530.3099999996</v>
      </c>
      <c r="BH328" s="85">
        <f t="shared" si="130"/>
        <v>5147030.2918083342</v>
      </c>
      <c r="BI328" s="339">
        <f>SUM(BI8:BI327)</f>
        <v>5845937.8125</v>
      </c>
      <c r="BJ328" s="339">
        <f t="shared" ref="BJ328:CK328" si="132">SUM(BJ8:BJ327)</f>
        <v>376121700.3785038</v>
      </c>
      <c r="BK328" s="339">
        <f t="shared" si="132"/>
        <v>14520820</v>
      </c>
      <c r="BL328" s="339">
        <f t="shared" si="132"/>
        <v>-88803375.1023729</v>
      </c>
      <c r="BM328" s="339">
        <f t="shared" si="132"/>
        <v>21000000</v>
      </c>
      <c r="BN328" s="339">
        <f t="shared" si="132"/>
        <v>120729999.99999999</v>
      </c>
      <c r="BO328" s="339">
        <f t="shared" si="132"/>
        <v>930000</v>
      </c>
      <c r="BP328" s="339">
        <f t="shared" si="132"/>
        <v>22479999.995081156</v>
      </c>
      <c r="BQ328" s="339">
        <f t="shared" si="132"/>
        <v>107657505.28104998</v>
      </c>
      <c r="BR328" s="339">
        <f t="shared" si="132"/>
        <v>150751900.07538658</v>
      </c>
      <c r="BS328" s="339">
        <f t="shared" si="132"/>
        <v>350000</v>
      </c>
      <c r="BT328" s="339">
        <f t="shared" si="132"/>
        <v>55200000</v>
      </c>
      <c r="BU328" s="339">
        <f t="shared" si="132"/>
        <v>1500000</v>
      </c>
      <c r="BV328" s="339">
        <f t="shared" si="132"/>
        <v>102129031.05284642</v>
      </c>
      <c r="BW328" s="339">
        <f t="shared" si="132"/>
        <v>50188000</v>
      </c>
      <c r="BX328" s="339">
        <f t="shared" si="132"/>
        <v>83518148.317868978</v>
      </c>
      <c r="BY328" s="339">
        <f t="shared" si="132"/>
        <v>334518851.77865982</v>
      </c>
      <c r="BZ328" s="339">
        <f t="shared" si="132"/>
        <v>2500000</v>
      </c>
      <c r="CA328" s="339">
        <f t="shared" si="132"/>
        <v>21066100</v>
      </c>
      <c r="CB328" s="339">
        <f t="shared" si="132"/>
        <v>28366000</v>
      </c>
      <c r="CC328" s="339">
        <f t="shared" si="132"/>
        <v>139916000</v>
      </c>
      <c r="CD328" s="339">
        <f t="shared" si="132"/>
        <v>508216145.54620367</v>
      </c>
      <c r="CE328" s="339">
        <f t="shared" si="132"/>
        <v>24500000</v>
      </c>
      <c r="CF328" s="339">
        <f t="shared" si="132"/>
        <v>49600000</v>
      </c>
      <c r="CG328" s="339">
        <f t="shared" si="132"/>
        <v>223250000</v>
      </c>
      <c r="CH328" s="339">
        <f t="shared" si="132"/>
        <v>105000000</v>
      </c>
      <c r="CI328" s="339">
        <f t="shared" si="132"/>
        <v>47600000</v>
      </c>
      <c r="CJ328" s="339">
        <f t="shared" si="132"/>
        <v>277300000</v>
      </c>
      <c r="CK328" s="339">
        <f t="shared" si="132"/>
        <v>573446000</v>
      </c>
      <c r="CL328" s="344">
        <f>SUM(CL8:CL327)</f>
        <v>1608588633.8042848</v>
      </c>
      <c r="CM328" s="230"/>
    </row>
    <row r="329" spans="1:92" x14ac:dyDescent="0.2">
      <c r="Y329" s="347"/>
      <c r="Z329" s="347"/>
      <c r="AA329" s="347"/>
      <c r="AB329" s="347"/>
      <c r="AC329" s="347">
        <v>30661060.957519408</v>
      </c>
      <c r="AD329" s="347"/>
      <c r="AE329" s="347"/>
      <c r="AF329" s="347"/>
      <c r="AG329" s="347"/>
      <c r="AH329" s="347"/>
      <c r="AI329" s="348"/>
      <c r="AJ329" s="348"/>
      <c r="AK329" s="349"/>
      <c r="AL329" s="347"/>
      <c r="AM329" s="347"/>
      <c r="AN329" s="347"/>
      <c r="AO329" s="347"/>
      <c r="AP329" s="347" t="s">
        <v>520</v>
      </c>
      <c r="AQ329" s="347" t="s">
        <v>521</v>
      </c>
      <c r="AR329" s="347"/>
      <c r="AS329" s="347">
        <f>AG328+AS328</f>
        <v>-5108111.5599999996</v>
      </c>
      <c r="AT329" s="347"/>
      <c r="AU329" s="350"/>
      <c r="AV329" s="350"/>
      <c r="AW329" s="351"/>
      <c r="AX329" s="351"/>
      <c r="AY329" s="350"/>
      <c r="AZ329" s="350"/>
      <c r="BA329" s="350"/>
      <c r="BB329" s="350"/>
      <c r="BC329" s="350"/>
      <c r="BD329" s="350"/>
      <c r="BE329" s="350"/>
      <c r="BF329" s="350"/>
      <c r="BG329" s="350"/>
      <c r="BH329" s="350"/>
      <c r="BI329" s="350"/>
      <c r="CL329" s="352"/>
    </row>
    <row r="330" spans="1:92" x14ac:dyDescent="0.2">
      <c r="V330" s="5">
        <v>1278750</v>
      </c>
      <c r="Y330" s="347"/>
      <c r="Z330" s="347"/>
      <c r="AA330" s="347"/>
      <c r="AB330" s="347"/>
      <c r="AC330" s="347"/>
      <c r="AD330" s="347"/>
      <c r="AQ330" s="10">
        <f>12098491.57</f>
        <v>12098491.57</v>
      </c>
      <c r="AR330" s="10">
        <f>12098491.57-1926030.14</f>
        <v>10172461.43</v>
      </c>
      <c r="AT330" s="10">
        <f>AY8+AT18+AT20+AT37+AT57+AT58+AY86+AT104+AT129+AT139+AT140+AT156+AY170+AT177+AT210+AT219+AT220+AT265+AY35</f>
        <v>1104562.5</v>
      </c>
      <c r="BX330" s="1" t="s">
        <v>522</v>
      </c>
    </row>
    <row r="331" spans="1:92" x14ac:dyDescent="0.2">
      <c r="AC331" s="347">
        <f>R328-V328-AA328-AB328</f>
        <v>21296998.020000089</v>
      </c>
      <c r="AH331" s="10" t="s">
        <v>523</v>
      </c>
      <c r="AJ331" s="353"/>
      <c r="AK331" s="354"/>
      <c r="AL331" s="355"/>
      <c r="AM331" s="355"/>
      <c r="AN331" s="355"/>
      <c r="AO331" s="355"/>
      <c r="AP331" s="356"/>
      <c r="AQ331" s="355" t="e">
        <f>#REF!-AQ330</f>
        <v>#REF!</v>
      </c>
      <c r="AR331" s="355"/>
      <c r="AS331" s="355"/>
      <c r="AT331" s="355">
        <f>AY8+AY18+AY20+AY35+AY37+AT57+AT58+AY86+AY104+AT129+AT139+AT140+AY170+AT177+AT210+AT219+AT220+AT265+AY156</f>
        <v>1129218.75</v>
      </c>
      <c r="AU331" s="357" t="s">
        <v>106</v>
      </c>
      <c r="AV331" s="357"/>
      <c r="AW331" s="358"/>
      <c r="AX331" s="358"/>
      <c r="AY331" s="357"/>
      <c r="AZ331" s="357"/>
      <c r="BA331" s="357"/>
      <c r="BB331" s="357"/>
      <c r="BC331" s="357"/>
      <c r="BD331" s="357"/>
      <c r="BE331" s="357"/>
      <c r="BF331" s="357"/>
      <c r="BG331" s="357"/>
      <c r="BH331" s="357"/>
      <c r="BI331" s="357"/>
      <c r="BJ331" s="359"/>
      <c r="BK331" s="359"/>
      <c r="BX331" s="1" t="s">
        <v>524</v>
      </c>
    </row>
    <row r="332" spans="1:92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9" t="s">
        <v>525</v>
      </c>
      <c r="AC332" s="347">
        <f>AC8+AC9+AC10+AC11+AC13+AC15+AC18+AC19+AC20+AC21+AC23+AC24+AC25+AC26+AC30+AC31+AC33+AC36+AC37+AC41+AC42+AC43+AC52+AC55+AC57+AC58+AC59+AC71+AC75+AC77+AC82+AC86+AC88+AC89+AC90+AC95+AC100+AC101+AC102+AC103+AC104+AC105+AC111+AC115+AC117+AC119+AC129+AC130+AC131+AC132+AC133+AC135+AC138+AC139+AC140+AC149+AC150+AC156+AC165+AC166+AC170+AC174+AC176+AC177+AC178+AC179+AC180+AC206+AC207+AC209+AC210+AC212+AC213+AC214+AC215+AC216+AC217+AC218+AC219+AC220+AC221+AC222+AC227+AC253+AC254+AC256+AC257+AC265+AC274+AC275+AC276+AC277+AC278+AC297</f>
        <v>19022147.697179385</v>
      </c>
      <c r="AF332" s="10" t="s">
        <v>526</v>
      </c>
      <c r="AG332" s="347">
        <f>AG8+AG9+AG10+AG11+AG13+AG15+AG18+AG19+AG20+AG21+AG23+AG24+AG25+AG26+AG30+AG31+AG33+AG36+AG37+AG41+AG42+AG43+AG52+AG55+AG57+AG58+AG59+AG71+AG75+AG77+AG82+AG86+AG88+AG89+AG90+AG95+AG100+AG101+AG102+AG103+AG104+AG105+AG111+AG115+AG117+AG119+AG129+AG130+AG131+AG132+AG133+AG135+AG138+AG139+AG140+AG149+AG150+AG156+AG165+AG166+AG170+AG174+AG176+AG177+AG178+AG179+AG180+AG206+AG207+AG209+AG210+AG212+AG213+AG214+AG215+AG216+AG217+AG218+AG219+AG220+AG221+AG222+AG227+AG253+AG254+AG256+AG257+AG265+AG274+AG275+AG276+AG277+AG278+AG297</f>
        <v>-3900814.2600000002</v>
      </c>
      <c r="AH332" s="347"/>
      <c r="AI332" s="348"/>
      <c r="AJ332" s="360"/>
      <c r="AK332" s="361"/>
      <c r="AL332" s="355"/>
      <c r="AM332" s="355"/>
      <c r="AN332" s="355"/>
      <c r="AO332" s="355"/>
      <c r="AP332" s="355"/>
      <c r="AQ332" s="355">
        <v>2270545.9300000002</v>
      </c>
      <c r="AR332" s="355"/>
      <c r="AS332" s="355"/>
      <c r="AT332" s="355">
        <f>AT330-AT331</f>
        <v>-24656.25</v>
      </c>
      <c r="AU332" s="357"/>
      <c r="AV332" s="357"/>
      <c r="AW332" s="358"/>
      <c r="AX332" s="358"/>
      <c r="AY332" s="357"/>
      <c r="AZ332" s="357"/>
      <c r="BA332" s="357"/>
      <c r="BB332" s="357"/>
      <c r="BC332" s="357"/>
      <c r="BD332" s="357"/>
      <c r="BE332" s="357"/>
      <c r="BF332" s="357"/>
      <c r="BG332" s="357"/>
      <c r="BH332" s="357"/>
      <c r="BI332" s="357"/>
      <c r="BJ332" s="359"/>
      <c r="BK332" s="356"/>
      <c r="BL332" s="10"/>
      <c r="BN332" s="1"/>
      <c r="BO332" s="1"/>
      <c r="BP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</row>
    <row r="333" spans="1:92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9" t="s">
        <v>230</v>
      </c>
      <c r="AC333" s="347">
        <f>AC97+AC146+AC158++AC201+AC204+AC266+AC313+AC317+AC322+AC265+AC36</f>
        <v>3066721.2682553618</v>
      </c>
      <c r="AF333" s="10" t="s">
        <v>272</v>
      </c>
      <c r="AJ333" s="353"/>
      <c r="AK333" s="354"/>
      <c r="AL333" s="355"/>
      <c r="AM333" s="355"/>
      <c r="AN333" s="355"/>
      <c r="AO333" s="355"/>
      <c r="AP333" s="355"/>
      <c r="AQ333" s="355"/>
      <c r="AR333" s="355"/>
      <c r="AS333" s="355"/>
      <c r="AT333" s="355"/>
      <c r="AU333" s="357"/>
      <c r="AV333" s="357"/>
      <c r="AW333" s="358"/>
      <c r="AX333" s="358"/>
      <c r="AY333" s="357"/>
      <c r="AZ333" s="357"/>
      <c r="BA333" s="357"/>
      <c r="BB333" s="357"/>
      <c r="BC333" s="357"/>
      <c r="BD333" s="357"/>
      <c r="BE333" s="357"/>
      <c r="BF333" s="357"/>
      <c r="BG333" s="357"/>
      <c r="BH333" s="357"/>
      <c r="BI333" s="357"/>
      <c r="BJ333" s="356"/>
      <c r="BK333" s="356"/>
      <c r="BL333" s="356"/>
      <c r="BM333" s="10"/>
      <c r="BN333" s="1"/>
      <c r="BO333" s="1"/>
      <c r="BP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</row>
    <row r="334" spans="1:92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9" t="s">
        <v>385</v>
      </c>
      <c r="AC334" s="347">
        <f>AC238+AC304+AC305+AC306</f>
        <v>4788320.8572365297</v>
      </c>
      <c r="AF334" s="10" t="s">
        <v>527</v>
      </c>
      <c r="AJ334" s="353"/>
      <c r="AK334" s="354"/>
      <c r="AL334" s="355"/>
      <c r="AM334" s="355"/>
      <c r="AN334" s="355"/>
      <c r="AO334" s="355"/>
      <c r="AP334" s="355"/>
      <c r="AQ334" s="355"/>
      <c r="AR334" s="355"/>
      <c r="AS334" s="355"/>
      <c r="AT334" s="355"/>
      <c r="AU334" s="357"/>
      <c r="AV334" s="357"/>
      <c r="AW334" s="358"/>
      <c r="AX334" s="358"/>
      <c r="AY334" s="357"/>
      <c r="AZ334" s="357"/>
      <c r="BA334" s="357"/>
      <c r="BB334" s="357"/>
      <c r="BC334" s="357"/>
      <c r="BD334" s="357"/>
      <c r="BE334" s="357"/>
      <c r="BF334" s="357"/>
      <c r="BG334" s="357"/>
      <c r="BH334" s="357"/>
      <c r="BI334" s="357"/>
      <c r="BJ334" s="356"/>
      <c r="BK334" s="356"/>
      <c r="BL334" s="356"/>
      <c r="BN334" s="1"/>
      <c r="BO334" s="1"/>
      <c r="BP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</row>
    <row r="335" spans="1:92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9" t="s">
        <v>528</v>
      </c>
      <c r="AC335" s="347">
        <f>AC64+AC65+AC66+AC67+AC68+AC69+AC84+AC150+AC153+AC200+AC197+AC316</f>
        <v>1218969.1912707258</v>
      </c>
      <c r="AF335" s="10" t="s">
        <v>529</v>
      </c>
      <c r="AJ335" s="353"/>
      <c r="AK335" s="354"/>
      <c r="AL335" s="355"/>
      <c r="AM335" s="355"/>
      <c r="AN335" s="355"/>
      <c r="AO335" s="355"/>
      <c r="AP335" s="355"/>
      <c r="AQ335" s="355"/>
      <c r="AR335" s="355"/>
      <c r="AS335" s="355"/>
      <c r="AT335" s="355"/>
      <c r="AU335" s="357"/>
      <c r="AV335" s="357"/>
      <c r="AW335" s="358"/>
      <c r="AX335" s="358"/>
      <c r="AY335" s="357"/>
      <c r="AZ335" s="357"/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62"/>
      <c r="BK335" s="356"/>
      <c r="BL335" s="356"/>
      <c r="BN335" s="1"/>
      <c r="BO335" s="1"/>
      <c r="BP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</row>
    <row r="336" spans="1:92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C336" s="347">
        <f>AC332+AC333+AC334+AC335</f>
        <v>28096159.013942003</v>
      </c>
      <c r="AJ336" s="353"/>
      <c r="AK336" s="354"/>
      <c r="AL336" s="355"/>
      <c r="AM336" s="355"/>
      <c r="AN336" s="355"/>
      <c r="AO336" s="355"/>
      <c r="AP336" s="355"/>
      <c r="AQ336" s="355"/>
      <c r="AR336" s="355"/>
      <c r="AS336" s="355"/>
      <c r="AT336" s="355"/>
      <c r="AU336" s="357"/>
      <c r="AV336" s="357"/>
      <c r="AW336" s="358"/>
      <c r="AX336" s="358"/>
      <c r="AY336" s="357"/>
      <c r="AZ336" s="357"/>
      <c r="BA336" s="357"/>
      <c r="BB336" s="357"/>
      <c r="BC336" s="357"/>
      <c r="BD336" s="357"/>
      <c r="BE336" s="357"/>
      <c r="BF336" s="357"/>
      <c r="BG336" s="357"/>
      <c r="BH336" s="357"/>
      <c r="BI336" s="357"/>
      <c r="BJ336" s="356"/>
      <c r="BK336" s="356"/>
      <c r="BL336" s="356"/>
      <c r="BN336" s="1"/>
      <c r="BO336" s="1"/>
      <c r="BP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</row>
    <row r="337" spans="2:89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J337" s="353"/>
      <c r="AK337" s="354"/>
      <c r="AL337" s="356"/>
      <c r="AM337" s="356"/>
      <c r="AN337" s="356"/>
      <c r="AO337" s="356"/>
      <c r="AP337" s="356"/>
      <c r="AQ337" s="356"/>
      <c r="AR337" s="356"/>
      <c r="AS337" s="356"/>
      <c r="AT337" s="356"/>
      <c r="AU337" s="363"/>
      <c r="AV337" s="363"/>
      <c r="AW337" s="364"/>
      <c r="AX337" s="364"/>
      <c r="AY337" s="363"/>
      <c r="AZ337" s="363"/>
      <c r="BA337" s="363"/>
      <c r="BB337" s="363"/>
      <c r="BC337" s="363"/>
      <c r="BD337" s="363"/>
      <c r="BE337" s="363"/>
      <c r="BF337" s="363"/>
      <c r="BG337" s="363"/>
      <c r="BH337" s="363"/>
      <c r="BI337" s="363"/>
      <c r="BJ337" s="356"/>
      <c r="BK337" s="359"/>
      <c r="BN337" s="1"/>
      <c r="BO337" s="1"/>
      <c r="BP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</row>
    <row r="338" spans="2:89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J338" s="353"/>
      <c r="AK338" s="354"/>
      <c r="AL338" s="356"/>
      <c r="AM338" s="356"/>
      <c r="AN338" s="356"/>
      <c r="AO338" s="356"/>
      <c r="AP338" s="356"/>
      <c r="AQ338" s="356"/>
      <c r="AR338" s="356"/>
      <c r="AS338" s="356"/>
      <c r="AT338" s="356"/>
      <c r="AU338" s="363"/>
      <c r="AV338" s="363"/>
      <c r="AW338" s="364"/>
      <c r="AX338" s="364"/>
      <c r="AY338" s="363"/>
      <c r="AZ338" s="363"/>
      <c r="BA338" s="363"/>
      <c r="BB338" s="363"/>
      <c r="BC338" s="363"/>
      <c r="BD338" s="363"/>
      <c r="BE338" s="363"/>
      <c r="BF338" s="363"/>
      <c r="BG338" s="363"/>
      <c r="BH338" s="363"/>
      <c r="BI338" s="363"/>
      <c r="BN338" s="1"/>
      <c r="BO338" s="1"/>
      <c r="BP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</row>
    <row r="339" spans="2:89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C339" s="347"/>
      <c r="AG339" s="356"/>
      <c r="AH339" s="356"/>
      <c r="AI339" s="353"/>
      <c r="AJ339" s="353"/>
      <c r="AK339" s="354"/>
      <c r="AL339" s="356"/>
      <c r="AM339" s="356"/>
      <c r="AN339" s="356"/>
      <c r="AO339" s="356"/>
      <c r="AP339" s="356"/>
      <c r="AQ339" s="356"/>
      <c r="AR339" s="356"/>
      <c r="AS339" s="356"/>
      <c r="AT339" s="356"/>
      <c r="AU339" s="363"/>
      <c r="AV339" s="363"/>
      <c r="AW339" s="364"/>
      <c r="AX339" s="364"/>
      <c r="AY339" s="363"/>
      <c r="AZ339" s="363"/>
      <c r="BA339" s="363"/>
      <c r="BB339" s="363"/>
      <c r="BC339" s="363"/>
      <c r="BD339" s="363"/>
      <c r="BE339" s="363"/>
      <c r="BF339" s="363"/>
      <c r="BG339" s="363"/>
      <c r="BH339" s="363"/>
      <c r="BI339" s="363"/>
      <c r="BJ339" s="359"/>
      <c r="BK339" s="359"/>
      <c r="BL339" s="359"/>
      <c r="BM339" s="359"/>
      <c r="BN339" s="1"/>
      <c r="BO339" s="1"/>
      <c r="BP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</row>
    <row r="340" spans="2:89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C340" s="347"/>
      <c r="AG340" s="356"/>
      <c r="AH340" s="356"/>
      <c r="AI340" s="353"/>
      <c r="AJ340" s="353"/>
      <c r="AK340" s="354"/>
      <c r="AL340" s="356"/>
      <c r="AM340" s="356"/>
      <c r="AN340" s="356"/>
      <c r="AO340" s="356"/>
      <c r="AP340" s="356"/>
      <c r="AQ340" s="356"/>
      <c r="AR340" s="356"/>
      <c r="AS340" s="356"/>
      <c r="AT340" s="356"/>
      <c r="AU340" s="363"/>
      <c r="AV340" s="363"/>
      <c r="AW340" s="364"/>
      <c r="AX340" s="364"/>
      <c r="AY340" s="363"/>
      <c r="AZ340" s="363"/>
      <c r="BA340" s="363"/>
      <c r="BB340" s="363"/>
      <c r="BC340" s="363"/>
      <c r="BD340" s="363"/>
      <c r="BE340" s="363"/>
      <c r="BF340" s="363"/>
      <c r="BG340" s="363"/>
      <c r="BH340" s="363"/>
      <c r="BI340" s="363"/>
      <c r="BJ340" s="362"/>
      <c r="BK340" s="362"/>
      <c r="BL340" s="362"/>
      <c r="BM340" s="359"/>
      <c r="BN340" s="1"/>
      <c r="BO340" s="1"/>
      <c r="BP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</row>
    <row r="341" spans="2:89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C341" s="347"/>
      <c r="AG341" s="356"/>
      <c r="AH341" s="356"/>
      <c r="AI341" s="353"/>
      <c r="AJ341" s="353"/>
      <c r="AK341" s="354"/>
      <c r="AL341" s="356"/>
      <c r="AM341" s="356"/>
      <c r="AN341" s="356"/>
      <c r="AO341" s="356"/>
      <c r="AP341" s="356"/>
      <c r="AQ341" s="356"/>
      <c r="AR341" s="356"/>
      <c r="AS341" s="356"/>
      <c r="AT341" s="356"/>
      <c r="AU341" s="363"/>
      <c r="AV341" s="363"/>
      <c r="AW341" s="364"/>
      <c r="AX341" s="364"/>
      <c r="AY341" s="363"/>
      <c r="AZ341" s="363"/>
      <c r="BA341" s="363"/>
      <c r="BB341" s="363"/>
      <c r="BC341" s="363"/>
      <c r="BD341" s="363"/>
      <c r="BE341" s="363"/>
      <c r="BF341" s="363"/>
      <c r="BG341" s="363"/>
      <c r="BH341" s="363"/>
      <c r="BI341" s="363"/>
      <c r="BJ341" s="362"/>
      <c r="BK341" s="362"/>
      <c r="BL341" s="362"/>
      <c r="BM341" s="359"/>
      <c r="BN341" s="1"/>
      <c r="BO341" s="1"/>
      <c r="BP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</row>
    <row r="342" spans="2:89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C342" s="347"/>
      <c r="AG342" s="356"/>
      <c r="AH342" s="356"/>
      <c r="AI342" s="353"/>
      <c r="AJ342" s="353"/>
      <c r="AK342" s="354"/>
      <c r="AL342" s="356"/>
      <c r="AM342" s="356"/>
      <c r="AN342" s="356"/>
      <c r="AO342" s="356"/>
      <c r="AP342" s="356"/>
      <c r="AQ342" s="356"/>
      <c r="AR342" s="356"/>
      <c r="AS342" s="356"/>
      <c r="AT342" s="356"/>
      <c r="AU342" s="363"/>
      <c r="AV342" s="363"/>
      <c r="AW342" s="364"/>
      <c r="AX342" s="364"/>
      <c r="AY342" s="363"/>
      <c r="AZ342" s="363"/>
      <c r="BA342" s="363"/>
      <c r="BB342" s="363"/>
      <c r="BC342" s="363"/>
      <c r="BD342" s="363"/>
      <c r="BE342" s="363"/>
      <c r="BF342" s="363"/>
      <c r="BG342" s="363"/>
      <c r="BH342" s="363"/>
      <c r="BI342" s="363"/>
      <c r="BJ342" s="362"/>
      <c r="BK342" s="362"/>
      <c r="BL342" s="362"/>
      <c r="BM342" s="359"/>
      <c r="BN342" s="1"/>
      <c r="BO342" s="1"/>
      <c r="BP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</row>
    <row r="343" spans="2:89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C343" s="347"/>
      <c r="AG343" s="356"/>
      <c r="AH343" s="356"/>
      <c r="AI343" s="353"/>
      <c r="AJ343" s="353"/>
      <c r="AK343" s="354"/>
      <c r="AL343" s="356"/>
      <c r="AM343" s="356"/>
      <c r="AN343" s="356"/>
      <c r="AO343" s="356"/>
      <c r="AP343" s="356"/>
      <c r="AQ343" s="356"/>
      <c r="AR343" s="356"/>
      <c r="AS343" s="356"/>
      <c r="AT343" s="356"/>
      <c r="AU343" s="363"/>
      <c r="AV343" s="363"/>
      <c r="AW343" s="364"/>
      <c r="AX343" s="364"/>
      <c r="AY343" s="363"/>
      <c r="AZ343" s="363"/>
      <c r="BA343" s="363"/>
      <c r="BB343" s="363"/>
      <c r="BC343" s="363"/>
      <c r="BD343" s="363"/>
      <c r="BE343" s="363"/>
      <c r="BF343" s="363"/>
      <c r="BG343" s="363"/>
      <c r="BH343" s="363"/>
      <c r="BI343" s="363"/>
      <c r="BJ343" s="362"/>
      <c r="BK343" s="362"/>
      <c r="BL343" s="362"/>
      <c r="BM343" s="359"/>
      <c r="BN343" s="1"/>
      <c r="BO343" s="1"/>
      <c r="BP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</row>
    <row r="344" spans="2:89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G344" s="356"/>
      <c r="AH344" s="356"/>
      <c r="AI344" s="353"/>
      <c r="AJ344" s="353"/>
      <c r="AK344" s="354"/>
      <c r="AL344" s="356"/>
      <c r="AM344" s="356"/>
      <c r="AN344" s="356"/>
      <c r="AO344" s="356"/>
      <c r="AP344" s="356"/>
      <c r="AQ344" s="356"/>
      <c r="AR344" s="356"/>
      <c r="AS344" s="356"/>
      <c r="AT344" s="356"/>
      <c r="AU344" s="363"/>
      <c r="AV344" s="363"/>
      <c r="AW344" s="364"/>
      <c r="AX344" s="364"/>
      <c r="AY344" s="363"/>
      <c r="AZ344" s="363"/>
      <c r="BA344" s="363"/>
      <c r="BB344" s="363"/>
      <c r="BC344" s="363"/>
      <c r="BD344" s="363"/>
      <c r="BE344" s="363"/>
      <c r="BF344" s="363"/>
      <c r="BG344" s="363"/>
      <c r="BH344" s="363"/>
      <c r="BI344" s="363"/>
      <c r="BJ344" s="356"/>
      <c r="BK344" s="359"/>
      <c r="BL344" s="359"/>
      <c r="BM344" s="359"/>
      <c r="BN344" s="1"/>
      <c r="BO344" s="1"/>
      <c r="BP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</row>
    <row r="345" spans="2:89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G345" s="356"/>
      <c r="AH345" s="356"/>
      <c r="AI345" s="353"/>
      <c r="AJ345" s="353"/>
      <c r="AK345" s="354"/>
      <c r="AL345" s="356"/>
      <c r="AM345" s="356"/>
      <c r="AN345" s="356"/>
      <c r="AO345" s="356"/>
      <c r="AP345" s="356"/>
      <c r="AQ345" s="356"/>
      <c r="AR345" s="356"/>
      <c r="AS345" s="356"/>
      <c r="AT345" s="356"/>
      <c r="AU345" s="363"/>
      <c r="AV345" s="363"/>
      <c r="AW345" s="364"/>
      <c r="AX345" s="364"/>
      <c r="AY345" s="363"/>
      <c r="AZ345" s="363"/>
      <c r="BA345" s="363"/>
      <c r="BB345" s="363"/>
      <c r="BC345" s="363"/>
      <c r="BD345" s="363"/>
      <c r="BE345" s="363"/>
      <c r="BF345" s="363"/>
      <c r="BG345" s="363"/>
      <c r="BH345" s="363"/>
      <c r="BI345" s="363"/>
      <c r="BJ345" s="359"/>
      <c r="BK345" s="359"/>
      <c r="BL345" s="359"/>
      <c r="BM345" s="359"/>
      <c r="BN345" s="1"/>
      <c r="BO345" s="1"/>
      <c r="BP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</row>
  </sheetData>
  <mergeCells count="43">
    <mergeCell ref="BX4:BX5"/>
    <mergeCell ref="BY4:BY5"/>
    <mergeCell ref="CD4:CD5"/>
    <mergeCell ref="CK4:CK5"/>
    <mergeCell ref="B1:CK1"/>
    <mergeCell ref="B2:CK2"/>
    <mergeCell ref="BG4:BG5"/>
    <mergeCell ref="BH4:BH5"/>
    <mergeCell ref="BI4:BI5"/>
    <mergeCell ref="BJ4:BJ5"/>
    <mergeCell ref="BR4:BR5"/>
    <mergeCell ref="BV4:BV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T4:AT5"/>
    <mergeCell ref="I4:I5"/>
    <mergeCell ref="P4:P5"/>
    <mergeCell ref="R4:R5"/>
    <mergeCell ref="S4:S5"/>
    <mergeCell ref="W4:W5"/>
    <mergeCell ref="X4:X5"/>
    <mergeCell ref="Y4:Y5"/>
    <mergeCell ref="Z4:Z5"/>
    <mergeCell ref="AD4:AD5"/>
    <mergeCell ref="AE4:AE5"/>
    <mergeCell ref="AR4:AR5"/>
    <mergeCell ref="F4:F5"/>
    <mergeCell ref="G4:G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F180 F115 E14:E19 E8:E12 F9:F16 F20 F30 F23:F24 F33 F41 F52 F75:F76 F82">
      <formula1>Организации</formula1>
    </dataValidation>
  </dataValidations>
  <pageMargins left="0.51181102362204722" right="0.31496062992125984" top="0.74803149606299213" bottom="0.354330708661417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WIIN0703</dc:creator>
  <cp:lastModifiedBy>Svetlana</cp:lastModifiedBy>
  <cp:lastPrinted>2019-08-27T13:03:01Z</cp:lastPrinted>
  <dcterms:created xsi:type="dcterms:W3CDTF">2019-08-27T08:16:37Z</dcterms:created>
  <dcterms:modified xsi:type="dcterms:W3CDTF">2019-08-29T04:38:48Z</dcterms:modified>
</cp:coreProperties>
</file>