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7235" windowHeight="8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Организации">[1]Рабочая!$A$1:$A$2</definedName>
  </definedNames>
  <calcPr calcId="125725"/>
</workbook>
</file>

<file path=xl/calcChain.xml><?xml version="1.0" encoding="utf-8"?>
<calcChain xmlns="http://schemas.openxmlformats.org/spreadsheetml/2006/main">
  <c r="Y50" i="1"/>
  <c r="AI263"/>
  <c r="AF263"/>
  <c r="AE263"/>
  <c r="AC263"/>
  <c r="S263"/>
  <c r="O262"/>
  <c r="V262" s="1"/>
  <c r="X262" s="1"/>
  <c r="N262"/>
  <c r="O261"/>
  <c r="V261" s="1"/>
  <c r="X261" s="1"/>
  <c r="N261"/>
  <c r="O260"/>
  <c r="V260" s="1"/>
  <c r="X260" s="1"/>
  <c r="N260"/>
  <c r="O259"/>
  <c r="V259" s="1"/>
  <c r="X259" s="1"/>
  <c r="N259"/>
  <c r="O258"/>
  <c r="V258" s="1"/>
  <c r="X258" s="1"/>
  <c r="N258"/>
  <c r="O257"/>
  <c r="V257" s="1"/>
  <c r="X257" s="1"/>
  <c r="N257"/>
  <c r="T256"/>
  <c r="O256"/>
  <c r="V256" s="1"/>
  <c r="X256" s="1"/>
  <c r="N256"/>
  <c r="O255"/>
  <c r="V255" s="1"/>
  <c r="X255" s="1"/>
  <c r="N255"/>
  <c r="O254"/>
  <c r="P254" s="1"/>
  <c r="W254" s="1"/>
  <c r="N254"/>
  <c r="O253"/>
  <c r="V253" s="1"/>
  <c r="X253" s="1"/>
  <c r="N253"/>
  <c r="O252"/>
  <c r="P252" s="1"/>
  <c r="W252" s="1"/>
  <c r="N252"/>
  <c r="O251"/>
  <c r="V251" s="1"/>
  <c r="X251" s="1"/>
  <c r="N251"/>
  <c r="O250"/>
  <c r="P250" s="1"/>
  <c r="W250" s="1"/>
  <c r="N250"/>
  <c r="Z249"/>
  <c r="O249"/>
  <c r="V249" s="1"/>
  <c r="X249" s="1"/>
  <c r="N249"/>
  <c r="O248"/>
  <c r="V248" s="1"/>
  <c r="X248" s="1"/>
  <c r="N248"/>
  <c r="O247"/>
  <c r="V247" s="1"/>
  <c r="X247" s="1"/>
  <c r="N247"/>
  <c r="AG246"/>
  <c r="O246"/>
  <c r="P246" s="1"/>
  <c r="W246" s="1"/>
  <c r="Y246" s="1"/>
  <c r="N246"/>
  <c r="AG245"/>
  <c r="O245"/>
  <c r="V245" s="1"/>
  <c r="X245" s="1"/>
  <c r="N245"/>
  <c r="AG244"/>
  <c r="O244"/>
  <c r="P244" s="1"/>
  <c r="W244" s="1"/>
  <c r="Y244" s="1"/>
  <c r="N244"/>
  <c r="O243"/>
  <c r="V243" s="1"/>
  <c r="X243" s="1"/>
  <c r="N243"/>
  <c r="AD242"/>
  <c r="AB242"/>
  <c r="AG242" s="1"/>
  <c r="O242"/>
  <c r="V242" s="1"/>
  <c r="X242" s="1"/>
  <c r="N242"/>
  <c r="O241"/>
  <c r="P241" s="1"/>
  <c r="W241" s="1"/>
  <c r="N241"/>
  <c r="O240"/>
  <c r="V240" s="1"/>
  <c r="X240" s="1"/>
  <c r="N240"/>
  <c r="O239"/>
  <c r="P239" s="1"/>
  <c r="W239" s="1"/>
  <c r="N239"/>
  <c r="T238"/>
  <c r="O238"/>
  <c r="V238" s="1"/>
  <c r="X238" s="1"/>
  <c r="N238"/>
  <c r="O237"/>
  <c r="N237"/>
  <c r="T236"/>
  <c r="O236"/>
  <c r="V236" s="1"/>
  <c r="X236" s="1"/>
  <c r="N236"/>
  <c r="Z235"/>
  <c r="O235"/>
  <c r="V235" s="1"/>
  <c r="X235" s="1"/>
  <c r="N235"/>
  <c r="O234"/>
  <c r="N234"/>
  <c r="O233"/>
  <c r="P233" s="1"/>
  <c r="W233" s="1"/>
  <c r="N233"/>
  <c r="O232"/>
  <c r="N232"/>
  <c r="Z231"/>
  <c r="O231"/>
  <c r="N231"/>
  <c r="O230"/>
  <c r="V230" s="1"/>
  <c r="X230" s="1"/>
  <c r="N230"/>
  <c r="O229"/>
  <c r="V229" s="1"/>
  <c r="X229" s="1"/>
  <c r="N229"/>
  <c r="O228"/>
  <c r="V228" s="1"/>
  <c r="X228" s="1"/>
  <c r="N228"/>
  <c r="O227"/>
  <c r="V227" s="1"/>
  <c r="X227" s="1"/>
  <c r="N227"/>
  <c r="O226"/>
  <c r="V226" s="1"/>
  <c r="X226" s="1"/>
  <c r="N226"/>
  <c r="O225"/>
  <c r="V225" s="1"/>
  <c r="X225" s="1"/>
  <c r="N225"/>
  <c r="O224"/>
  <c r="V224" s="1"/>
  <c r="X224" s="1"/>
  <c r="N224"/>
  <c r="O223"/>
  <c r="V223" s="1"/>
  <c r="X223" s="1"/>
  <c r="N223"/>
  <c r="O222"/>
  <c r="V222" s="1"/>
  <c r="X222" s="1"/>
  <c r="N222"/>
  <c r="O221"/>
  <c r="P221" s="1"/>
  <c r="N221"/>
  <c r="O220"/>
  <c r="P220" s="1"/>
  <c r="N220"/>
  <c r="O219"/>
  <c r="V219" s="1"/>
  <c r="X219" s="1"/>
  <c r="N219"/>
  <c r="O218"/>
  <c r="V218" s="1"/>
  <c r="X218" s="1"/>
  <c r="N218"/>
  <c r="O217"/>
  <c r="P217" s="1"/>
  <c r="N217"/>
  <c r="O216"/>
  <c r="V216" s="1"/>
  <c r="X216" s="1"/>
  <c r="N216"/>
  <c r="O215"/>
  <c r="V215" s="1"/>
  <c r="X215" s="1"/>
  <c r="N215"/>
  <c r="O214"/>
  <c r="V214" s="1"/>
  <c r="X214" s="1"/>
  <c r="N214"/>
  <c r="O213"/>
  <c r="V213" s="1"/>
  <c r="X213" s="1"/>
  <c r="N213"/>
  <c r="O212"/>
  <c r="V212" s="1"/>
  <c r="X212" s="1"/>
  <c r="N212"/>
  <c r="O211"/>
  <c r="V211" s="1"/>
  <c r="X211" s="1"/>
  <c r="N211"/>
  <c r="P210"/>
  <c r="W210" s="1"/>
  <c r="O210"/>
  <c r="V210" s="1"/>
  <c r="X210" s="1"/>
  <c r="N210"/>
  <c r="Q210" s="1"/>
  <c r="Z209"/>
  <c r="O209"/>
  <c r="P209" s="1"/>
  <c r="W209" s="1"/>
  <c r="N209"/>
  <c r="O208"/>
  <c r="V208" s="1"/>
  <c r="X208" s="1"/>
  <c r="N208"/>
  <c r="O207"/>
  <c r="P207" s="1"/>
  <c r="W207" s="1"/>
  <c r="N207"/>
  <c r="O206"/>
  <c r="V206" s="1"/>
  <c r="X206" s="1"/>
  <c r="N206"/>
  <c r="O205"/>
  <c r="P205" s="1"/>
  <c r="W205" s="1"/>
  <c r="N205"/>
  <c r="O204"/>
  <c r="V204" s="1"/>
  <c r="X204" s="1"/>
  <c r="N204"/>
  <c r="Z203"/>
  <c r="O203"/>
  <c r="V203" s="1"/>
  <c r="X203" s="1"/>
  <c r="N203"/>
  <c r="O202"/>
  <c r="V202" s="1"/>
  <c r="X202" s="1"/>
  <c r="N202"/>
  <c r="O201"/>
  <c r="V201" s="1"/>
  <c r="X201" s="1"/>
  <c r="N201"/>
  <c r="Z200"/>
  <c r="O200"/>
  <c r="V200" s="1"/>
  <c r="X200" s="1"/>
  <c r="N200"/>
  <c r="O199"/>
  <c r="P199" s="1"/>
  <c r="W199" s="1"/>
  <c r="N199"/>
  <c r="O198"/>
  <c r="V198" s="1"/>
  <c r="X198" s="1"/>
  <c r="N198"/>
  <c r="O197"/>
  <c r="P197" s="1"/>
  <c r="W197" s="1"/>
  <c r="N197"/>
  <c r="O196"/>
  <c r="V196" s="1"/>
  <c r="X196" s="1"/>
  <c r="N196"/>
  <c r="P195"/>
  <c r="W195" s="1"/>
  <c r="O195"/>
  <c r="V195" s="1"/>
  <c r="X195" s="1"/>
  <c r="N195"/>
  <c r="Q195" s="1"/>
  <c r="O194"/>
  <c r="V194" s="1"/>
  <c r="X194" s="1"/>
  <c r="N194"/>
  <c r="Z193"/>
  <c r="O193"/>
  <c r="V193" s="1"/>
  <c r="X193" s="1"/>
  <c r="N193"/>
  <c r="O192"/>
  <c r="P192" s="1"/>
  <c r="N192"/>
  <c r="O191"/>
  <c r="P191" s="1"/>
  <c r="N191"/>
  <c r="O190"/>
  <c r="P190" s="1"/>
  <c r="N190"/>
  <c r="P189"/>
  <c r="W189" s="1"/>
  <c r="O189"/>
  <c r="V189" s="1"/>
  <c r="X189" s="1"/>
  <c r="N189"/>
  <c r="Q189" s="1"/>
  <c r="O188"/>
  <c r="N188"/>
  <c r="Z187"/>
  <c r="O187"/>
  <c r="N187"/>
  <c r="O186"/>
  <c r="P186" s="1"/>
  <c r="N186"/>
  <c r="O185"/>
  <c r="P185" s="1"/>
  <c r="N185"/>
  <c r="O184"/>
  <c r="V184" s="1"/>
  <c r="X184" s="1"/>
  <c r="N184"/>
  <c r="P183"/>
  <c r="W183" s="1"/>
  <c r="O183"/>
  <c r="V183" s="1"/>
  <c r="X183" s="1"/>
  <c r="N183"/>
  <c r="Q183" s="1"/>
  <c r="AA182"/>
  <c r="O182"/>
  <c r="V182" s="1"/>
  <c r="X182" s="1"/>
  <c r="N182"/>
  <c r="O181"/>
  <c r="V181" s="1"/>
  <c r="X181" s="1"/>
  <c r="N181"/>
  <c r="O180"/>
  <c r="V180" s="1"/>
  <c r="X180" s="1"/>
  <c r="N180"/>
  <c r="V179"/>
  <c r="X179" s="1"/>
  <c r="T179"/>
  <c r="P179"/>
  <c r="W179" s="1"/>
  <c r="O179"/>
  <c r="N179"/>
  <c r="Q179" s="1"/>
  <c r="O178"/>
  <c r="V178" s="1"/>
  <c r="X178" s="1"/>
  <c r="N178"/>
  <c r="O177"/>
  <c r="V177" s="1"/>
  <c r="X177" s="1"/>
  <c r="N177"/>
  <c r="O176"/>
  <c r="V176" s="1"/>
  <c r="X176" s="1"/>
  <c r="N176"/>
  <c r="O175"/>
  <c r="V175" s="1"/>
  <c r="X175" s="1"/>
  <c r="N175"/>
  <c r="O174"/>
  <c r="V174" s="1"/>
  <c r="X174" s="1"/>
  <c r="N174"/>
  <c r="O173"/>
  <c r="V173" s="1"/>
  <c r="X173" s="1"/>
  <c r="N173"/>
  <c r="O172"/>
  <c r="V172" s="1"/>
  <c r="X172" s="1"/>
  <c r="N172"/>
  <c r="O171"/>
  <c r="V171" s="1"/>
  <c r="X171" s="1"/>
  <c r="N171"/>
  <c r="O170"/>
  <c r="V170" s="1"/>
  <c r="X170" s="1"/>
  <c r="N170"/>
  <c r="O169"/>
  <c r="V169" s="1"/>
  <c r="X169" s="1"/>
  <c r="N169"/>
  <c r="O168"/>
  <c r="V168" s="1"/>
  <c r="X168" s="1"/>
  <c r="N168"/>
  <c r="O167"/>
  <c r="V167" s="1"/>
  <c r="X167" s="1"/>
  <c r="N167"/>
  <c r="O166"/>
  <c r="V166" s="1"/>
  <c r="X166" s="1"/>
  <c r="N166"/>
  <c r="O165"/>
  <c r="V165" s="1"/>
  <c r="X165" s="1"/>
  <c r="N165"/>
  <c r="O164"/>
  <c r="V164" s="1"/>
  <c r="X164" s="1"/>
  <c r="N164"/>
  <c r="O163"/>
  <c r="V163" s="1"/>
  <c r="X163" s="1"/>
  <c r="N163"/>
  <c r="P162"/>
  <c r="W162" s="1"/>
  <c r="O162"/>
  <c r="V162" s="1"/>
  <c r="X162" s="1"/>
  <c r="N162"/>
  <c r="Q162" s="1"/>
  <c r="O161"/>
  <c r="V161" s="1"/>
  <c r="X161" s="1"/>
  <c r="N161"/>
  <c r="Z160"/>
  <c r="O160"/>
  <c r="V160" s="1"/>
  <c r="X160" s="1"/>
  <c r="N160"/>
  <c r="O159"/>
  <c r="V159" s="1"/>
  <c r="X159" s="1"/>
  <c r="N159"/>
  <c r="AA158"/>
  <c r="O158"/>
  <c r="V158" s="1"/>
  <c r="X158" s="1"/>
  <c r="N158"/>
  <c r="O157"/>
  <c r="V157" s="1"/>
  <c r="X157" s="1"/>
  <c r="N157"/>
  <c r="Z156"/>
  <c r="O156"/>
  <c r="V156" s="1"/>
  <c r="X156" s="1"/>
  <c r="N156"/>
  <c r="O155"/>
  <c r="V155" s="1"/>
  <c r="X155" s="1"/>
  <c r="N155"/>
  <c r="O154"/>
  <c r="V154" s="1"/>
  <c r="X154" s="1"/>
  <c r="N154"/>
  <c r="O153"/>
  <c r="V153" s="1"/>
  <c r="X153" s="1"/>
  <c r="N153"/>
  <c r="O152"/>
  <c r="V152" s="1"/>
  <c r="X152" s="1"/>
  <c r="N152"/>
  <c r="O151"/>
  <c r="V151" s="1"/>
  <c r="X151" s="1"/>
  <c r="N151"/>
  <c r="Z150"/>
  <c r="O150"/>
  <c r="V150" s="1"/>
  <c r="X150" s="1"/>
  <c r="N150"/>
  <c r="O149"/>
  <c r="V149" s="1"/>
  <c r="X149" s="1"/>
  <c r="N149"/>
  <c r="O148"/>
  <c r="V148" s="1"/>
  <c r="X148" s="1"/>
  <c r="N148"/>
  <c r="O147"/>
  <c r="V147" s="1"/>
  <c r="X147" s="1"/>
  <c r="N147"/>
  <c r="O146"/>
  <c r="V146" s="1"/>
  <c r="X146" s="1"/>
  <c r="N146"/>
  <c r="O145"/>
  <c r="V145" s="1"/>
  <c r="X145" s="1"/>
  <c r="N145"/>
  <c r="O144"/>
  <c r="V144" s="1"/>
  <c r="X144" s="1"/>
  <c r="N144"/>
  <c r="I143"/>
  <c r="I263" s="1"/>
  <c r="O142"/>
  <c r="V142" s="1"/>
  <c r="X142" s="1"/>
  <c r="N142"/>
  <c r="O141"/>
  <c r="V141" s="1"/>
  <c r="X141" s="1"/>
  <c r="N141"/>
  <c r="O140"/>
  <c r="V140" s="1"/>
  <c r="X140" s="1"/>
  <c r="N140"/>
  <c r="O139"/>
  <c r="V139" s="1"/>
  <c r="X139" s="1"/>
  <c r="N139"/>
  <c r="O138"/>
  <c r="V138" s="1"/>
  <c r="X138" s="1"/>
  <c r="N138"/>
  <c r="O137"/>
  <c r="V137" s="1"/>
  <c r="X137" s="1"/>
  <c r="N137"/>
  <c r="O136"/>
  <c r="V136" s="1"/>
  <c r="X136" s="1"/>
  <c r="N136"/>
  <c r="Z135"/>
  <c r="O135"/>
  <c r="V135" s="1"/>
  <c r="X135" s="1"/>
  <c r="N135"/>
  <c r="O134"/>
  <c r="V134" s="1"/>
  <c r="X134" s="1"/>
  <c r="N134"/>
  <c r="Z133"/>
  <c r="O133"/>
  <c r="V133" s="1"/>
  <c r="X133" s="1"/>
  <c r="N133"/>
  <c r="O132"/>
  <c r="V132" s="1"/>
  <c r="X132" s="1"/>
  <c r="N132"/>
  <c r="O131"/>
  <c r="V131" s="1"/>
  <c r="X131" s="1"/>
  <c r="N131"/>
  <c r="O130"/>
  <c r="V130" s="1"/>
  <c r="X130" s="1"/>
  <c r="N130"/>
  <c r="O129"/>
  <c r="V129" s="1"/>
  <c r="X129" s="1"/>
  <c r="N129"/>
  <c r="O128"/>
  <c r="V128" s="1"/>
  <c r="X128" s="1"/>
  <c r="N128"/>
  <c r="O127"/>
  <c r="V127" s="1"/>
  <c r="X127" s="1"/>
  <c r="N127"/>
  <c r="Z126"/>
  <c r="O126"/>
  <c r="V126" s="1"/>
  <c r="X126" s="1"/>
  <c r="N126"/>
  <c r="O125"/>
  <c r="V125" s="1"/>
  <c r="X125" s="1"/>
  <c r="N125"/>
  <c r="O124"/>
  <c r="V124" s="1"/>
  <c r="X124" s="1"/>
  <c r="N124"/>
  <c r="AA123"/>
  <c r="O123"/>
  <c r="V123" s="1"/>
  <c r="X123" s="1"/>
  <c r="N123"/>
  <c r="O122"/>
  <c r="V122" s="1"/>
  <c r="X122" s="1"/>
  <c r="N122"/>
  <c r="O121"/>
  <c r="V121" s="1"/>
  <c r="X121" s="1"/>
  <c r="N121"/>
  <c r="Z120"/>
  <c r="O120"/>
  <c r="V120" s="1"/>
  <c r="X120" s="1"/>
  <c r="N120"/>
  <c r="O119"/>
  <c r="V119" s="1"/>
  <c r="X119" s="1"/>
  <c r="N119"/>
  <c r="P118"/>
  <c r="W118" s="1"/>
  <c r="O118"/>
  <c r="V118" s="1"/>
  <c r="X118" s="1"/>
  <c r="N118"/>
  <c r="Q118" s="1"/>
  <c r="O117"/>
  <c r="V117" s="1"/>
  <c r="X117" s="1"/>
  <c r="N117"/>
  <c r="T116"/>
  <c r="O116"/>
  <c r="V116" s="1"/>
  <c r="X116" s="1"/>
  <c r="N116"/>
  <c r="P115"/>
  <c r="W115" s="1"/>
  <c r="O115"/>
  <c r="V115" s="1"/>
  <c r="X115" s="1"/>
  <c r="N115"/>
  <c r="Q115" s="1"/>
  <c r="O114"/>
  <c r="V114" s="1"/>
  <c r="X114" s="1"/>
  <c r="N114"/>
  <c r="Z113"/>
  <c r="O113"/>
  <c r="V113" s="1"/>
  <c r="X113" s="1"/>
  <c r="N113"/>
  <c r="O112"/>
  <c r="V112" s="1"/>
  <c r="X112" s="1"/>
  <c r="N112"/>
  <c r="O111"/>
  <c r="V111" s="1"/>
  <c r="X111" s="1"/>
  <c r="N111"/>
  <c r="O110"/>
  <c r="V110" s="1"/>
  <c r="X110" s="1"/>
  <c r="N110"/>
  <c r="O109"/>
  <c r="V109" s="1"/>
  <c r="X109" s="1"/>
  <c r="N109"/>
  <c r="O108"/>
  <c r="V108" s="1"/>
  <c r="X108" s="1"/>
  <c r="N108"/>
  <c r="O107"/>
  <c r="V107" s="1"/>
  <c r="X107" s="1"/>
  <c r="N107"/>
  <c r="O106"/>
  <c r="V106" s="1"/>
  <c r="X106" s="1"/>
  <c r="N106"/>
  <c r="O105"/>
  <c r="V105" s="1"/>
  <c r="X105" s="1"/>
  <c r="N105"/>
  <c r="O104"/>
  <c r="V104" s="1"/>
  <c r="X104" s="1"/>
  <c r="N104"/>
  <c r="V103"/>
  <c r="X103" s="1"/>
  <c r="T103"/>
  <c r="P103"/>
  <c r="W103" s="1"/>
  <c r="O103"/>
  <c r="N103"/>
  <c r="Q103" s="1"/>
  <c r="O102"/>
  <c r="N102"/>
  <c r="AA101"/>
  <c r="O101"/>
  <c r="N101"/>
  <c r="P100"/>
  <c r="W100" s="1"/>
  <c r="O100"/>
  <c r="V100" s="1"/>
  <c r="X100" s="1"/>
  <c r="N100"/>
  <c r="Q100" s="1"/>
  <c r="O99"/>
  <c r="N99"/>
  <c r="O98"/>
  <c r="V98" s="1"/>
  <c r="X98" s="1"/>
  <c r="N98"/>
  <c r="O97"/>
  <c r="V97" s="1"/>
  <c r="X97" s="1"/>
  <c r="N97"/>
  <c r="O96"/>
  <c r="V96" s="1"/>
  <c r="X96" s="1"/>
  <c r="N96"/>
  <c r="O95"/>
  <c r="V95" s="1"/>
  <c r="X95" s="1"/>
  <c r="N95"/>
  <c r="O94"/>
  <c r="V94" s="1"/>
  <c r="X94" s="1"/>
  <c r="N94"/>
  <c r="O93"/>
  <c r="V93" s="1"/>
  <c r="X93" s="1"/>
  <c r="N93"/>
  <c r="O92"/>
  <c r="V92" s="1"/>
  <c r="X92" s="1"/>
  <c r="N92"/>
  <c r="O91"/>
  <c r="V91" s="1"/>
  <c r="X91" s="1"/>
  <c r="N91"/>
  <c r="O90"/>
  <c r="V90" s="1"/>
  <c r="X90" s="1"/>
  <c r="N90"/>
  <c r="O89"/>
  <c r="V89" s="1"/>
  <c r="X89" s="1"/>
  <c r="N89"/>
  <c r="O88"/>
  <c r="V88" s="1"/>
  <c r="X88" s="1"/>
  <c r="N88"/>
  <c r="O87"/>
  <c r="V87" s="1"/>
  <c r="X87" s="1"/>
  <c r="N87"/>
  <c r="O86"/>
  <c r="V86" s="1"/>
  <c r="X86" s="1"/>
  <c r="N86"/>
  <c r="O85"/>
  <c r="V85" s="1"/>
  <c r="X85" s="1"/>
  <c r="N85"/>
  <c r="O84"/>
  <c r="V84" s="1"/>
  <c r="X84" s="1"/>
  <c r="N84"/>
  <c r="O83"/>
  <c r="V83" s="1"/>
  <c r="X83" s="1"/>
  <c r="N83"/>
  <c r="O82"/>
  <c r="V82" s="1"/>
  <c r="X82" s="1"/>
  <c r="N82"/>
  <c r="Z81"/>
  <c r="O81"/>
  <c r="V81" s="1"/>
  <c r="X81" s="1"/>
  <c r="N81"/>
  <c r="O80"/>
  <c r="V80" s="1"/>
  <c r="X80" s="1"/>
  <c r="N80"/>
  <c r="O79"/>
  <c r="V79" s="1"/>
  <c r="X79" s="1"/>
  <c r="N79"/>
  <c r="O78"/>
  <c r="V78" s="1"/>
  <c r="X78" s="1"/>
  <c r="N78"/>
  <c r="P77"/>
  <c r="W77" s="1"/>
  <c r="O77"/>
  <c r="V77" s="1"/>
  <c r="X77" s="1"/>
  <c r="N77"/>
  <c r="Q77" s="1"/>
  <c r="O76"/>
  <c r="V76" s="1"/>
  <c r="X76" s="1"/>
  <c r="N76"/>
  <c r="O75"/>
  <c r="V75" s="1"/>
  <c r="X75" s="1"/>
  <c r="N75"/>
  <c r="Z74"/>
  <c r="O74"/>
  <c r="V74" s="1"/>
  <c r="X74" s="1"/>
  <c r="N74"/>
  <c r="O73"/>
  <c r="V73" s="1"/>
  <c r="X73" s="1"/>
  <c r="N73"/>
  <c r="Z72"/>
  <c r="O72"/>
  <c r="V72" s="1"/>
  <c r="X72" s="1"/>
  <c r="N72"/>
  <c r="O71"/>
  <c r="V71" s="1"/>
  <c r="X71" s="1"/>
  <c r="N71"/>
  <c r="O70"/>
  <c r="V70" s="1"/>
  <c r="X70" s="1"/>
  <c r="N70"/>
  <c r="O69"/>
  <c r="V69" s="1"/>
  <c r="X69" s="1"/>
  <c r="N69"/>
  <c r="O68"/>
  <c r="V68" s="1"/>
  <c r="X68" s="1"/>
  <c r="N68"/>
  <c r="O67"/>
  <c r="V67" s="1"/>
  <c r="X67" s="1"/>
  <c r="N67"/>
  <c r="O66"/>
  <c r="V66" s="1"/>
  <c r="X66" s="1"/>
  <c r="N66"/>
  <c r="O65"/>
  <c r="V65" s="1"/>
  <c r="X65" s="1"/>
  <c r="N65"/>
  <c r="O64"/>
  <c r="V64" s="1"/>
  <c r="X64" s="1"/>
  <c r="N64"/>
  <c r="O63"/>
  <c r="V63" s="1"/>
  <c r="X63" s="1"/>
  <c r="N63"/>
  <c r="O62"/>
  <c r="V62" s="1"/>
  <c r="X62" s="1"/>
  <c r="N62"/>
  <c r="O61"/>
  <c r="V61" s="1"/>
  <c r="X61" s="1"/>
  <c r="N61"/>
  <c r="O60"/>
  <c r="V60" s="1"/>
  <c r="X60" s="1"/>
  <c r="N60"/>
  <c r="O59"/>
  <c r="V59" s="1"/>
  <c r="X59" s="1"/>
  <c r="N59"/>
  <c r="Z58"/>
  <c r="Z54" s="1"/>
  <c r="O58"/>
  <c r="V58" s="1"/>
  <c r="X58" s="1"/>
  <c r="N58"/>
  <c r="O57"/>
  <c r="V57" s="1"/>
  <c r="X57" s="1"/>
  <c r="N57"/>
  <c r="O56"/>
  <c r="V56" s="1"/>
  <c r="X56" s="1"/>
  <c r="N56"/>
  <c r="O55"/>
  <c r="V55" s="1"/>
  <c r="X55" s="1"/>
  <c r="N55"/>
  <c r="O54"/>
  <c r="V54" s="1"/>
  <c r="X54" s="1"/>
  <c r="N54"/>
  <c r="O53"/>
  <c r="V53" s="1"/>
  <c r="X53" s="1"/>
  <c r="N53"/>
  <c r="O52"/>
  <c r="V52" s="1"/>
  <c r="X52" s="1"/>
  <c r="N52"/>
  <c r="O51"/>
  <c r="V51" s="1"/>
  <c r="X51" s="1"/>
  <c r="N51"/>
  <c r="AB50"/>
  <c r="AG50" s="1"/>
  <c r="X50"/>
  <c r="P49"/>
  <c r="W49" s="1"/>
  <c r="O49"/>
  <c r="V49" s="1"/>
  <c r="X49" s="1"/>
  <c r="N49"/>
  <c r="Q49" s="1"/>
  <c r="O48"/>
  <c r="V48" s="1"/>
  <c r="X48" s="1"/>
  <c r="N48"/>
  <c r="Z47"/>
  <c r="O47"/>
  <c r="V47" s="1"/>
  <c r="X47" s="1"/>
  <c r="N47"/>
  <c r="O46"/>
  <c r="V46" s="1"/>
  <c r="X46" s="1"/>
  <c r="N46"/>
  <c r="P45"/>
  <c r="W45" s="1"/>
  <c r="O45"/>
  <c r="V45" s="1"/>
  <c r="X45" s="1"/>
  <c r="N45"/>
  <c r="Q45" s="1"/>
  <c r="O44"/>
  <c r="V44" s="1"/>
  <c r="X44" s="1"/>
  <c r="N44"/>
  <c r="O43"/>
  <c r="V43" s="1"/>
  <c r="X43" s="1"/>
  <c r="N43"/>
  <c r="O42"/>
  <c r="V42" s="1"/>
  <c r="X42" s="1"/>
  <c r="N42"/>
  <c r="O41"/>
  <c r="V41" s="1"/>
  <c r="X41" s="1"/>
  <c r="N41"/>
  <c r="T40"/>
  <c r="O40"/>
  <c r="V40" s="1"/>
  <c r="X40" s="1"/>
  <c r="N40"/>
  <c r="O39"/>
  <c r="V39" s="1"/>
  <c r="X39" s="1"/>
  <c r="N39"/>
  <c r="O38"/>
  <c r="V38" s="1"/>
  <c r="X38" s="1"/>
  <c r="N38"/>
  <c r="O37"/>
  <c r="V37" s="1"/>
  <c r="X37" s="1"/>
  <c r="N37"/>
  <c r="O36"/>
  <c r="V36" s="1"/>
  <c r="X36" s="1"/>
  <c r="N36"/>
  <c r="O35"/>
  <c r="V35" s="1"/>
  <c r="X35" s="1"/>
  <c r="N35"/>
  <c r="O34"/>
  <c r="V34" s="1"/>
  <c r="X34" s="1"/>
  <c r="N34"/>
  <c r="O33"/>
  <c r="V33" s="1"/>
  <c r="X33" s="1"/>
  <c r="N33"/>
  <c r="O32"/>
  <c r="V32" s="1"/>
  <c r="X32" s="1"/>
  <c r="N32"/>
  <c r="O31"/>
  <c r="V31" s="1"/>
  <c r="X31" s="1"/>
  <c r="N31"/>
  <c r="O30"/>
  <c r="V30" s="1"/>
  <c r="X30" s="1"/>
  <c r="N30"/>
  <c r="O29"/>
  <c r="V29" s="1"/>
  <c r="X29" s="1"/>
  <c r="N29"/>
  <c r="V28"/>
  <c r="X28" s="1"/>
  <c r="T28"/>
  <c r="P28"/>
  <c r="W28" s="1"/>
  <c r="O28"/>
  <c r="N28"/>
  <c r="Q28" s="1"/>
  <c r="O27"/>
  <c r="V27" s="1"/>
  <c r="X27" s="1"/>
  <c r="N27"/>
  <c r="O26"/>
  <c r="V26" s="1"/>
  <c r="X26" s="1"/>
  <c r="N26"/>
  <c r="O25"/>
  <c r="V25" s="1"/>
  <c r="X25" s="1"/>
  <c r="N25"/>
  <c r="O24"/>
  <c r="V24" s="1"/>
  <c r="X24" s="1"/>
  <c r="N24"/>
  <c r="O23"/>
  <c r="V23" s="1"/>
  <c r="X23" s="1"/>
  <c r="N23"/>
  <c r="O22"/>
  <c r="V22" s="1"/>
  <c r="X22" s="1"/>
  <c r="N22"/>
  <c r="O21"/>
  <c r="V21" s="1"/>
  <c r="X21" s="1"/>
  <c r="N21"/>
  <c r="O20"/>
  <c r="V20" s="1"/>
  <c r="X20" s="1"/>
  <c r="N20"/>
  <c r="O19"/>
  <c r="V19" s="1"/>
  <c r="X19" s="1"/>
  <c r="N19"/>
  <c r="O18"/>
  <c r="V18" s="1"/>
  <c r="X18" s="1"/>
  <c r="N18"/>
  <c r="O17"/>
  <c r="V17" s="1"/>
  <c r="X17" s="1"/>
  <c r="N17"/>
  <c r="O16"/>
  <c r="V16" s="1"/>
  <c r="X16" s="1"/>
  <c r="N16"/>
  <c r="Z15"/>
  <c r="O15"/>
  <c r="V15" s="1"/>
  <c r="X15" s="1"/>
  <c r="N15"/>
  <c r="O14"/>
  <c r="V14" s="1"/>
  <c r="X14" s="1"/>
  <c r="N14"/>
  <c r="O13"/>
  <c r="V13" s="1"/>
  <c r="X13" s="1"/>
  <c r="N13"/>
  <c r="O12"/>
  <c r="V12" s="1"/>
  <c r="N1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O11"/>
  <c r="V11" s="1"/>
  <c r="X11" s="1"/>
  <c r="N11"/>
  <c r="AI10"/>
  <c r="AF10"/>
  <c r="AE10"/>
  <c r="AC10"/>
  <c r="AA10"/>
  <c r="T10"/>
  <c r="S10"/>
  <c r="I10"/>
  <c r="Y254" l="1"/>
  <c r="AB254" s="1"/>
  <c r="Y252"/>
  <c r="AB252" s="1"/>
  <c r="Y250"/>
  <c r="AB250" s="1"/>
  <c r="Y210"/>
  <c r="AB210" s="1"/>
  <c r="Y162"/>
  <c r="AB162" s="1"/>
  <c r="Y118"/>
  <c r="AB118" s="1"/>
  <c r="Y100"/>
  <c r="AB100" s="1"/>
  <c r="Y28"/>
  <c r="AB28" s="1"/>
  <c r="P18"/>
  <c r="W18" s="1"/>
  <c r="P134"/>
  <c r="W134" s="1"/>
  <c r="P140"/>
  <c r="W140" s="1"/>
  <c r="P145"/>
  <c r="W145" s="1"/>
  <c r="P171"/>
  <c r="W171" s="1"/>
  <c r="Y241"/>
  <c r="AB241" s="1"/>
  <c r="Y239"/>
  <c r="AB239" s="1"/>
  <c r="Y233"/>
  <c r="AB233" s="1"/>
  <c r="Y209"/>
  <c r="AB209" s="1"/>
  <c r="Y207"/>
  <c r="AB207" s="1"/>
  <c r="Y205"/>
  <c r="AB205" s="1"/>
  <c r="Y199"/>
  <c r="AB199" s="1"/>
  <c r="Y197"/>
  <c r="AB197" s="1"/>
  <c r="Y195"/>
  <c r="AB195" s="1"/>
  <c r="Y189"/>
  <c r="AB189" s="1"/>
  <c r="Y183"/>
  <c r="AB183" s="1"/>
  <c r="Y179"/>
  <c r="AB179" s="1"/>
  <c r="Y115"/>
  <c r="AB115" s="1"/>
  <c r="Y103"/>
  <c r="AB103" s="1"/>
  <c r="Y77"/>
  <c r="AB77" s="1"/>
  <c r="Y49"/>
  <c r="AB49" s="1"/>
  <c r="Y45"/>
  <c r="AB45" s="1"/>
  <c r="P24"/>
  <c r="W24" s="1"/>
  <c r="T263"/>
  <c r="P36"/>
  <c r="W36" s="1"/>
  <c r="P41"/>
  <c r="W41" s="1"/>
  <c r="P55"/>
  <c r="W55" s="1"/>
  <c r="P71"/>
  <c r="W71" s="1"/>
  <c r="AA263"/>
  <c r="Q124"/>
  <c r="P124"/>
  <c r="W124" s="1"/>
  <c r="Q149"/>
  <c r="P149"/>
  <c r="W149" s="1"/>
  <c r="Q166"/>
  <c r="P166"/>
  <c r="W166" s="1"/>
  <c r="Q175"/>
  <c r="P175"/>
  <c r="W175" s="1"/>
  <c r="P16"/>
  <c r="W16" s="1"/>
  <c r="P22"/>
  <c r="W22" s="1"/>
  <c r="P26"/>
  <c r="W26" s="1"/>
  <c r="P34"/>
  <c r="W34" s="1"/>
  <c r="P43"/>
  <c r="W43" s="1"/>
  <c r="P57"/>
  <c r="W57" s="1"/>
  <c r="P67"/>
  <c r="W67" s="1"/>
  <c r="P75"/>
  <c r="W75" s="1"/>
  <c r="P80"/>
  <c r="W80" s="1"/>
  <c r="P97"/>
  <c r="W97" s="1"/>
  <c r="P120"/>
  <c r="W120" s="1"/>
  <c r="P126"/>
  <c r="W126" s="1"/>
  <c r="P147"/>
  <c r="W147" s="1"/>
  <c r="P158"/>
  <c r="W158" s="1"/>
  <c r="P164"/>
  <c r="W164" s="1"/>
  <c r="P169"/>
  <c r="W169" s="1"/>
  <c r="P173"/>
  <c r="W173" s="1"/>
  <c r="P177"/>
  <c r="W177" s="1"/>
  <c r="P245"/>
  <c r="W245" s="1"/>
  <c r="Y245" s="1"/>
  <c r="P249"/>
  <c r="W249" s="1"/>
  <c r="P11"/>
  <c r="Q11" s="1"/>
  <c r="Z10"/>
  <c r="P235"/>
  <c r="W235" s="1"/>
  <c r="Y235" s="1"/>
  <c r="P247"/>
  <c r="W247" s="1"/>
  <c r="P261"/>
  <c r="W261" s="1"/>
  <c r="P13"/>
  <c r="W13" s="1"/>
  <c r="P15"/>
  <c r="W15" s="1"/>
  <c r="Z263"/>
  <c r="P31"/>
  <c r="W31" s="1"/>
  <c r="P33"/>
  <c r="W33" s="1"/>
  <c r="P37"/>
  <c r="W37" s="1"/>
  <c r="P39"/>
  <c r="W39" s="1"/>
  <c r="P42"/>
  <c r="W42" s="1"/>
  <c r="P44"/>
  <c r="W44" s="1"/>
  <c r="P46"/>
  <c r="W46" s="1"/>
  <c r="P52"/>
  <c r="W52" s="1"/>
  <c r="P54"/>
  <c r="W54" s="1"/>
  <c r="P60"/>
  <c r="W60" s="1"/>
  <c r="P62"/>
  <c r="W62" s="1"/>
  <c r="P64"/>
  <c r="W64" s="1"/>
  <c r="P66"/>
  <c r="W66" s="1"/>
  <c r="P68"/>
  <c r="W68" s="1"/>
  <c r="P70"/>
  <c r="W70" s="1"/>
  <c r="P74"/>
  <c r="W74" s="1"/>
  <c r="P83"/>
  <c r="W83" s="1"/>
  <c r="P85"/>
  <c r="W85" s="1"/>
  <c r="P87"/>
  <c r="W87" s="1"/>
  <c r="P89"/>
  <c r="W89" s="1"/>
  <c r="P91"/>
  <c r="W91" s="1"/>
  <c r="P96"/>
  <c r="W96" s="1"/>
  <c r="P98"/>
  <c r="W98" s="1"/>
  <c r="P108"/>
  <c r="W108" s="1"/>
  <c r="P110"/>
  <c r="W110" s="1"/>
  <c r="P112"/>
  <c r="W112" s="1"/>
  <c r="P117"/>
  <c r="W117" s="1"/>
  <c r="P121"/>
  <c r="W121" s="1"/>
  <c r="P123"/>
  <c r="W123" s="1"/>
  <c r="P127"/>
  <c r="W127" s="1"/>
  <c r="P129"/>
  <c r="W129" s="1"/>
  <c r="P131"/>
  <c r="W131" s="1"/>
  <c r="P133"/>
  <c r="W133" s="1"/>
  <c r="P137"/>
  <c r="W137" s="1"/>
  <c r="P139"/>
  <c r="W139" s="1"/>
  <c r="N143"/>
  <c r="N263" s="1"/>
  <c r="P152"/>
  <c r="W152" s="1"/>
  <c r="P159"/>
  <c r="W159" s="1"/>
  <c r="P182"/>
  <c r="W182" s="1"/>
  <c r="P184"/>
  <c r="W184" s="1"/>
  <c r="V197"/>
  <c r="X197" s="1"/>
  <c r="V199"/>
  <c r="X199" s="1"/>
  <c r="P202"/>
  <c r="W202" s="1"/>
  <c r="V205"/>
  <c r="X205" s="1"/>
  <c r="V207"/>
  <c r="X207" s="1"/>
  <c r="V209"/>
  <c r="X209" s="1"/>
  <c r="P212"/>
  <c r="W212" s="1"/>
  <c r="P214"/>
  <c r="W214" s="1"/>
  <c r="P216"/>
  <c r="W216" s="1"/>
  <c r="P219"/>
  <c r="W219" s="1"/>
  <c r="V233"/>
  <c r="X233" s="1"/>
  <c r="V239"/>
  <c r="X239" s="1"/>
  <c r="V241"/>
  <c r="X241" s="1"/>
  <c r="V244"/>
  <c r="X244" s="1"/>
  <c r="V246"/>
  <c r="X246" s="1"/>
  <c r="V250"/>
  <c r="X250" s="1"/>
  <c r="V252"/>
  <c r="X252" s="1"/>
  <c r="V254"/>
  <c r="X254" s="1"/>
  <c r="Q197"/>
  <c r="Q199"/>
  <c r="Q205"/>
  <c r="Q207"/>
  <c r="Q209"/>
  <c r="Q233"/>
  <c r="P236"/>
  <c r="Q236" s="1"/>
  <c r="P238"/>
  <c r="W238" s="1"/>
  <c r="Q239"/>
  <c r="Q241"/>
  <c r="Q244"/>
  <c r="Q246"/>
  <c r="Q250"/>
  <c r="Q252"/>
  <c r="Q254"/>
  <c r="P256"/>
  <c r="W256" s="1"/>
  <c r="P262"/>
  <c r="W262" s="1"/>
  <c r="Y262" s="1"/>
  <c r="P222"/>
  <c r="U222" s="1"/>
  <c r="P224"/>
  <c r="U224" s="1"/>
  <c r="P226"/>
  <c r="U226" s="1"/>
  <c r="P228"/>
  <c r="U228" s="1"/>
  <c r="P230"/>
  <c r="W230" s="1"/>
  <c r="P223"/>
  <c r="U223" s="1"/>
  <c r="P225"/>
  <c r="U225" s="1"/>
  <c r="P227"/>
  <c r="U227" s="1"/>
  <c r="P229"/>
  <c r="U229" s="1"/>
  <c r="X12"/>
  <c r="V99"/>
  <c r="X99" s="1"/>
  <c r="P99"/>
  <c r="V102"/>
  <c r="X102" s="1"/>
  <c r="P102"/>
  <c r="N10"/>
  <c r="W11"/>
  <c r="Y11" s="1"/>
  <c r="P12"/>
  <c r="P14"/>
  <c r="P17"/>
  <c r="P19"/>
  <c r="P20"/>
  <c r="P21"/>
  <c r="P23"/>
  <c r="P25"/>
  <c r="P27"/>
  <c r="U28"/>
  <c r="P29"/>
  <c r="P30"/>
  <c r="P32"/>
  <c r="P35"/>
  <c r="P38"/>
  <c r="P40"/>
  <c r="P47"/>
  <c r="P48"/>
  <c r="AD50"/>
  <c r="AH50"/>
  <c r="P51"/>
  <c r="P53"/>
  <c r="P56"/>
  <c r="P58"/>
  <c r="P59"/>
  <c r="P61"/>
  <c r="P63"/>
  <c r="P65"/>
  <c r="P69"/>
  <c r="P72"/>
  <c r="P73"/>
  <c r="P76"/>
  <c r="P78"/>
  <c r="P79"/>
  <c r="P81"/>
  <c r="P82"/>
  <c r="P84"/>
  <c r="P86"/>
  <c r="P88"/>
  <c r="P90"/>
  <c r="P92"/>
  <c r="P93"/>
  <c r="P94"/>
  <c r="P95"/>
  <c r="U96"/>
  <c r="U97"/>
  <c r="V101"/>
  <c r="X101" s="1"/>
  <c r="P101"/>
  <c r="U33"/>
  <c r="U36"/>
  <c r="U42"/>
  <c r="U44"/>
  <c r="U45"/>
  <c r="U66"/>
  <c r="U70"/>
  <c r="W185"/>
  <c r="U185"/>
  <c r="W186"/>
  <c r="U186"/>
  <c r="V187"/>
  <c r="X187" s="1"/>
  <c r="P187"/>
  <c r="W190"/>
  <c r="U190"/>
  <c r="W191"/>
  <c r="U191"/>
  <c r="W192"/>
  <c r="U192"/>
  <c r="U103"/>
  <c r="P104"/>
  <c r="P105"/>
  <c r="P106"/>
  <c r="P107"/>
  <c r="P109"/>
  <c r="P111"/>
  <c r="P113"/>
  <c r="P114"/>
  <c r="P116"/>
  <c r="P119"/>
  <c r="P122"/>
  <c r="P125"/>
  <c r="P128"/>
  <c r="P130"/>
  <c r="P132"/>
  <c r="P135"/>
  <c r="P136"/>
  <c r="P138"/>
  <c r="P141"/>
  <c r="P142"/>
  <c r="O143"/>
  <c r="P144"/>
  <c r="P146"/>
  <c r="P148"/>
  <c r="P150"/>
  <c r="P151"/>
  <c r="P153"/>
  <c r="P154"/>
  <c r="P155"/>
  <c r="P156"/>
  <c r="P157"/>
  <c r="P160"/>
  <c r="P161"/>
  <c r="P163"/>
  <c r="P165"/>
  <c r="P167"/>
  <c r="P168"/>
  <c r="P170"/>
  <c r="P172"/>
  <c r="P174"/>
  <c r="P176"/>
  <c r="P178"/>
  <c r="U179"/>
  <c r="P180"/>
  <c r="P181"/>
  <c r="V185"/>
  <c r="X185" s="1"/>
  <c r="V186"/>
  <c r="X186" s="1"/>
  <c r="V190"/>
  <c r="X190" s="1"/>
  <c r="V191"/>
  <c r="X191" s="1"/>
  <c r="V192"/>
  <c r="X192" s="1"/>
  <c r="V188"/>
  <c r="X188" s="1"/>
  <c r="P188"/>
  <c r="W217"/>
  <c r="U217"/>
  <c r="Q217"/>
  <c r="W220"/>
  <c r="U220"/>
  <c r="Q220"/>
  <c r="W221"/>
  <c r="U221"/>
  <c r="Q221"/>
  <c r="U139"/>
  <c r="Q185"/>
  <c r="Q186"/>
  <c r="Q190"/>
  <c r="Q191"/>
  <c r="Q192"/>
  <c r="V232"/>
  <c r="X232" s="1"/>
  <c r="P232"/>
  <c r="AD262"/>
  <c r="AB262"/>
  <c r="V217"/>
  <c r="X217" s="1"/>
  <c r="V220"/>
  <c r="X220" s="1"/>
  <c r="V221"/>
  <c r="X221" s="1"/>
  <c r="W222"/>
  <c r="W223"/>
  <c r="W225"/>
  <c r="W226"/>
  <c r="W227"/>
  <c r="W229"/>
  <c r="V231"/>
  <c r="X231" s="1"/>
  <c r="P231"/>
  <c r="V234"/>
  <c r="X234" s="1"/>
  <c r="P234"/>
  <c r="U236"/>
  <c r="V237"/>
  <c r="X237" s="1"/>
  <c r="P237"/>
  <c r="P193"/>
  <c r="P194"/>
  <c r="P196"/>
  <c r="P198"/>
  <c r="P200"/>
  <c r="P201"/>
  <c r="P203"/>
  <c r="P204"/>
  <c r="P206"/>
  <c r="P208"/>
  <c r="P211"/>
  <c r="P213"/>
  <c r="P215"/>
  <c r="P218"/>
  <c r="AB235"/>
  <c r="P240"/>
  <c r="P242"/>
  <c r="P243"/>
  <c r="P248"/>
  <c r="P251"/>
  <c r="P253"/>
  <c r="P255"/>
  <c r="U256"/>
  <c r="P257"/>
  <c r="P258"/>
  <c r="P259"/>
  <c r="P260"/>
  <c r="U262"/>
  <c r="AH49" l="1"/>
  <c r="AG49"/>
  <c r="AD49"/>
  <c r="AH103"/>
  <c r="AG103"/>
  <c r="AD103"/>
  <c r="AH179"/>
  <c r="AG179"/>
  <c r="AD179"/>
  <c r="AH189"/>
  <c r="AD189"/>
  <c r="AG189"/>
  <c r="AH197"/>
  <c r="AG197"/>
  <c r="AD197"/>
  <c r="AH205"/>
  <c r="AG205"/>
  <c r="AD205"/>
  <c r="AG209"/>
  <c r="AD209"/>
  <c r="AH209"/>
  <c r="AH239"/>
  <c r="AG239"/>
  <c r="AD239"/>
  <c r="AG100"/>
  <c r="AD100"/>
  <c r="AH100"/>
  <c r="AH162"/>
  <c r="AG162"/>
  <c r="AD162"/>
  <c r="AH250"/>
  <c r="AG250"/>
  <c r="AD250"/>
  <c r="AH254"/>
  <c r="AG254"/>
  <c r="AD254"/>
  <c r="AH45"/>
  <c r="AG45"/>
  <c r="AD45"/>
  <c r="AH77"/>
  <c r="AG77"/>
  <c r="AD77"/>
  <c r="AG115"/>
  <c r="AD115"/>
  <c r="AH115"/>
  <c r="AG183"/>
  <c r="AH183"/>
  <c r="AD183"/>
  <c r="AD195"/>
  <c r="AH195"/>
  <c r="AG195"/>
  <c r="AD199"/>
  <c r="AH199"/>
  <c r="AG199"/>
  <c r="AD207"/>
  <c r="AH207"/>
  <c r="AG207"/>
  <c r="AD233"/>
  <c r="AH233"/>
  <c r="AG233"/>
  <c r="AG241"/>
  <c r="AD241"/>
  <c r="AH241"/>
  <c r="AH243" s="1"/>
  <c r="AB243" s="1"/>
  <c r="AG28"/>
  <c r="AD28"/>
  <c r="AH28"/>
  <c r="AH118"/>
  <c r="AG118"/>
  <c r="AD118"/>
  <c r="AD210"/>
  <c r="AH210"/>
  <c r="AG210"/>
  <c r="AG252"/>
  <c r="AD252"/>
  <c r="AH252"/>
  <c r="AB229"/>
  <c r="Y229"/>
  <c r="AB223"/>
  <c r="Y223"/>
  <c r="AB227"/>
  <c r="Y227"/>
  <c r="AB225"/>
  <c r="Y225"/>
  <c r="AB222"/>
  <c r="Y222"/>
  <c r="AB221"/>
  <c r="Y221"/>
  <c r="AB217"/>
  <c r="Y217"/>
  <c r="AB216"/>
  <c r="Y216"/>
  <c r="AB212"/>
  <c r="Y212"/>
  <c r="AB202"/>
  <c r="Y202"/>
  <c r="AB182"/>
  <c r="Y182"/>
  <c r="AB152"/>
  <c r="Y152"/>
  <c r="AB139"/>
  <c r="Y139"/>
  <c r="AB133"/>
  <c r="Y133"/>
  <c r="AB129"/>
  <c r="Y129"/>
  <c r="AB123"/>
  <c r="Y123"/>
  <c r="AB117"/>
  <c r="Y117"/>
  <c r="AB110"/>
  <c r="Y110"/>
  <c r="AB98"/>
  <c r="Y98"/>
  <c r="AB91"/>
  <c r="Y91"/>
  <c r="AB87"/>
  <c r="Y87"/>
  <c r="AB83"/>
  <c r="Y83"/>
  <c r="AB70"/>
  <c r="Y70"/>
  <c r="AB66"/>
  <c r="Y66"/>
  <c r="AB62"/>
  <c r="Y62"/>
  <c r="AB54"/>
  <c r="Y54"/>
  <c r="AB46"/>
  <c r="Y46"/>
  <c r="AB42"/>
  <c r="Y42"/>
  <c r="AB15"/>
  <c r="Y15"/>
  <c r="AB261"/>
  <c r="Y261"/>
  <c r="AB173"/>
  <c r="Y173"/>
  <c r="AB164"/>
  <c r="Y164"/>
  <c r="AB147"/>
  <c r="Y147"/>
  <c r="AB120"/>
  <c r="Y120"/>
  <c r="AB80"/>
  <c r="Y80"/>
  <c r="AB67"/>
  <c r="Y67"/>
  <c r="AB43"/>
  <c r="Y43"/>
  <c r="AB26"/>
  <c r="Y26"/>
  <c r="AB16"/>
  <c r="Y16"/>
  <c r="AB71"/>
  <c r="Y71"/>
  <c r="AB41"/>
  <c r="Y41"/>
  <c r="Q39"/>
  <c r="Q37"/>
  <c r="Q33"/>
  <c r="Q31"/>
  <c r="Q24"/>
  <c r="Q171"/>
  <c r="Q145"/>
  <c r="Q140"/>
  <c r="Q134"/>
  <c r="Q18"/>
  <c r="AB226"/>
  <c r="Y226"/>
  <c r="AB220"/>
  <c r="Y220"/>
  <c r="AB192"/>
  <c r="Y192"/>
  <c r="AB191"/>
  <c r="Y191"/>
  <c r="AB190"/>
  <c r="Y190"/>
  <c r="AB186"/>
  <c r="Y186"/>
  <c r="AB185"/>
  <c r="Y185"/>
  <c r="AB230"/>
  <c r="Y230"/>
  <c r="AB256"/>
  <c r="Y256"/>
  <c r="AB238"/>
  <c r="Y238"/>
  <c r="AB219"/>
  <c r="Y219"/>
  <c r="AB214"/>
  <c r="Y214"/>
  <c r="AB184"/>
  <c r="Y184"/>
  <c r="AB159"/>
  <c r="Y159"/>
  <c r="AB137"/>
  <c r="Y137"/>
  <c r="AB131"/>
  <c r="Y131"/>
  <c r="AB127"/>
  <c r="Y127"/>
  <c r="AB121"/>
  <c r="Y121"/>
  <c r="AB112"/>
  <c r="Y112"/>
  <c r="AB108"/>
  <c r="Y108"/>
  <c r="AB96"/>
  <c r="Y96"/>
  <c r="AB89"/>
  <c r="Y89"/>
  <c r="AB85"/>
  <c r="Y85"/>
  <c r="AB74"/>
  <c r="Y74"/>
  <c r="AB68"/>
  <c r="Y68"/>
  <c r="AB64"/>
  <c r="Y64"/>
  <c r="AB60"/>
  <c r="Y60"/>
  <c r="AB52"/>
  <c r="Y52"/>
  <c r="AB44"/>
  <c r="Y44"/>
  <c r="AB39"/>
  <c r="Y39"/>
  <c r="AB37"/>
  <c r="Y37"/>
  <c r="AB33"/>
  <c r="Y33"/>
  <c r="AB31"/>
  <c r="Y31"/>
  <c r="AB13"/>
  <c r="Y13"/>
  <c r="AB247"/>
  <c r="Y247"/>
  <c r="AB249"/>
  <c r="Y249"/>
  <c r="AB177"/>
  <c r="Y177"/>
  <c r="AB169"/>
  <c r="Y169"/>
  <c r="AB158"/>
  <c r="Y158"/>
  <c r="AB126"/>
  <c r="Y126"/>
  <c r="AB97"/>
  <c r="Y97"/>
  <c r="AB75"/>
  <c r="Y75"/>
  <c r="AB57"/>
  <c r="Y57"/>
  <c r="AB34"/>
  <c r="Y34"/>
  <c r="AB22"/>
  <c r="Y22"/>
  <c r="AB175"/>
  <c r="Y175"/>
  <c r="AB166"/>
  <c r="Y166"/>
  <c r="AB149"/>
  <c r="Y149"/>
  <c r="AB124"/>
  <c r="Y124"/>
  <c r="AB55"/>
  <c r="Y55"/>
  <c r="AB36"/>
  <c r="Y36"/>
  <c r="AB24"/>
  <c r="Y24"/>
  <c r="AB171"/>
  <c r="Y171"/>
  <c r="AB145"/>
  <c r="Y145"/>
  <c r="AB140"/>
  <c r="Y140"/>
  <c r="AB134"/>
  <c r="Y134"/>
  <c r="AB18"/>
  <c r="Y18"/>
  <c r="U261"/>
  <c r="AG261"/>
  <c r="W236"/>
  <c r="W228"/>
  <c r="W224"/>
  <c r="U117"/>
  <c r="AG216"/>
  <c r="AG212"/>
  <c r="AG202"/>
  <c r="U67"/>
  <c r="U43"/>
  <c r="U41"/>
  <c r="AG139"/>
  <c r="AG133"/>
  <c r="AD129"/>
  <c r="AG123"/>
  <c r="AG117"/>
  <c r="AD110"/>
  <c r="AD71"/>
  <c r="AG43"/>
  <c r="AG36"/>
  <c r="AG15"/>
  <c r="Q71"/>
  <c r="Q55"/>
  <c r="Q41"/>
  <c r="Q36"/>
  <c r="Q261"/>
  <c r="Q247"/>
  <c r="Q235"/>
  <c r="Q249"/>
  <c r="Q245"/>
  <c r="Q177"/>
  <c r="Q173"/>
  <c r="Q169"/>
  <c r="Q164"/>
  <c r="Q158"/>
  <c r="Q147"/>
  <c r="Q126"/>
  <c r="Q120"/>
  <c r="Q97"/>
  <c r="Q80"/>
  <c r="Q75"/>
  <c r="Q67"/>
  <c r="Q57"/>
  <c r="Q43"/>
  <c r="Q34"/>
  <c r="Q26"/>
  <c r="Q22"/>
  <c r="Q16"/>
  <c r="Q262"/>
  <c r="Q256"/>
  <c r="Q202"/>
  <c r="Q184"/>
  <c r="Q182"/>
  <c r="Q159"/>
  <c r="Q152"/>
  <c r="Q238"/>
  <c r="Q219"/>
  <c r="Q216"/>
  <c r="Q214"/>
  <c r="Q212"/>
  <c r="Q139"/>
  <c r="Q137"/>
  <c r="Q133"/>
  <c r="Q131"/>
  <c r="Q129"/>
  <c r="Q127"/>
  <c r="Q123"/>
  <c r="Q121"/>
  <c r="Q117"/>
  <c r="Q112"/>
  <c r="Q110"/>
  <c r="Q108"/>
  <c r="Q98"/>
  <c r="Q96"/>
  <c r="Q91"/>
  <c r="Q89"/>
  <c r="Q87"/>
  <c r="Q85"/>
  <c r="Q83"/>
  <c r="Q74"/>
  <c r="Q70"/>
  <c r="Q68"/>
  <c r="Q66"/>
  <c r="Q64"/>
  <c r="Q62"/>
  <c r="Q60"/>
  <c r="Q54"/>
  <c r="Q52"/>
  <c r="Q46"/>
  <c r="Q44"/>
  <c r="Q42"/>
  <c r="Q15"/>
  <c r="Q13"/>
  <c r="Q229"/>
  <c r="Q227"/>
  <c r="Q225"/>
  <c r="Q223"/>
  <c r="Q230"/>
  <c r="Q228"/>
  <c r="Q226"/>
  <c r="Q224"/>
  <c r="Q222"/>
  <c r="Q259"/>
  <c r="W259"/>
  <c r="U259"/>
  <c r="Q257"/>
  <c r="W257"/>
  <c r="Y257" s="1"/>
  <c r="U257"/>
  <c r="W255"/>
  <c r="Q255"/>
  <c r="W251"/>
  <c r="Q251"/>
  <c r="W243"/>
  <c r="Y243" s="1"/>
  <c r="Q243"/>
  <c r="W240"/>
  <c r="Q240"/>
  <c r="W218"/>
  <c r="Q218"/>
  <c r="W213"/>
  <c r="Q213"/>
  <c r="W208"/>
  <c r="Q208"/>
  <c r="W204"/>
  <c r="Q204"/>
  <c r="W201"/>
  <c r="Q201"/>
  <c r="W198"/>
  <c r="Q198"/>
  <c r="W194"/>
  <c r="Q194"/>
  <c r="AG226"/>
  <c r="AH226"/>
  <c r="AD226"/>
  <c r="AG222"/>
  <c r="AH222"/>
  <c r="AD222"/>
  <c r="AH262"/>
  <c r="AG262"/>
  <c r="AH220"/>
  <c r="AD220"/>
  <c r="AG220"/>
  <c r="W188"/>
  <c r="Q188"/>
  <c r="Q180"/>
  <c r="W180"/>
  <c r="U180"/>
  <c r="W178"/>
  <c r="Q178"/>
  <c r="W174"/>
  <c r="Q174"/>
  <c r="W170"/>
  <c r="Q170"/>
  <c r="Q167"/>
  <c r="W167"/>
  <c r="U167"/>
  <c r="W163"/>
  <c r="Q163"/>
  <c r="W160"/>
  <c r="Q160"/>
  <c r="W156"/>
  <c r="Q156"/>
  <c r="Q154"/>
  <c r="W154"/>
  <c r="U154"/>
  <c r="W151"/>
  <c r="Q151"/>
  <c r="W148"/>
  <c r="Q148"/>
  <c r="W144"/>
  <c r="Q144"/>
  <c r="Q142"/>
  <c r="W142"/>
  <c r="U142"/>
  <c r="W138"/>
  <c r="Q138"/>
  <c r="W135"/>
  <c r="Q135"/>
  <c r="W130"/>
  <c r="Q130"/>
  <c r="W125"/>
  <c r="Q125"/>
  <c r="W119"/>
  <c r="Q119"/>
  <c r="W114"/>
  <c r="Q114"/>
  <c r="W111"/>
  <c r="Q111"/>
  <c r="W107"/>
  <c r="Q107"/>
  <c r="Q105"/>
  <c r="W105"/>
  <c r="U105"/>
  <c r="AH192"/>
  <c r="AD192"/>
  <c r="AG192"/>
  <c r="AH191"/>
  <c r="AD191"/>
  <c r="AG191"/>
  <c r="AH190"/>
  <c r="AD190"/>
  <c r="AG190"/>
  <c r="Q187"/>
  <c r="W187"/>
  <c r="W101"/>
  <c r="Q101"/>
  <c r="Q94"/>
  <c r="W94"/>
  <c r="U94"/>
  <c r="Q92"/>
  <c r="W92"/>
  <c r="U92"/>
  <c r="W88"/>
  <c r="Q88"/>
  <c r="W84"/>
  <c r="Q84"/>
  <c r="W81"/>
  <c r="Q81"/>
  <c r="Q78"/>
  <c r="W78"/>
  <c r="U78"/>
  <c r="W73"/>
  <c r="Q73"/>
  <c r="W69"/>
  <c r="Q69"/>
  <c r="W63"/>
  <c r="Q63"/>
  <c r="W59"/>
  <c r="Q59"/>
  <c r="W56"/>
  <c r="Q56"/>
  <c r="W51"/>
  <c r="Q51"/>
  <c r="W47"/>
  <c r="Q47"/>
  <c r="W38"/>
  <c r="Q38"/>
  <c r="W32"/>
  <c r="Q32"/>
  <c r="Q29"/>
  <c r="W29"/>
  <c r="U29"/>
  <c r="W27"/>
  <c r="Q27"/>
  <c r="W23"/>
  <c r="Q23"/>
  <c r="Q20"/>
  <c r="W20"/>
  <c r="U20"/>
  <c r="W17"/>
  <c r="Q17"/>
  <c r="Q12"/>
  <c r="W12"/>
  <c r="Q102"/>
  <c r="W102"/>
  <c r="Q99"/>
  <c r="W99"/>
  <c r="W260"/>
  <c r="Q260"/>
  <c r="Q258"/>
  <c r="W258"/>
  <c r="U258"/>
  <c r="W253"/>
  <c r="Q253"/>
  <c r="W248"/>
  <c r="Q248"/>
  <c r="W242"/>
  <c r="Y242" s="1"/>
  <c r="Q242"/>
  <c r="AG235"/>
  <c r="AD235"/>
  <c r="AH235"/>
  <c r="W215"/>
  <c r="Q215"/>
  <c r="W211"/>
  <c r="Q211"/>
  <c r="W206"/>
  <c r="Q206"/>
  <c r="W203"/>
  <c r="Q203"/>
  <c r="W200"/>
  <c r="Q200"/>
  <c r="W196"/>
  <c r="Q196"/>
  <c r="W193"/>
  <c r="Q193"/>
  <c r="W237"/>
  <c r="Q237"/>
  <c r="W234"/>
  <c r="Q234"/>
  <c r="W231"/>
  <c r="Q231"/>
  <c r="AG229"/>
  <c r="AH229"/>
  <c r="AD229"/>
  <c r="AG227"/>
  <c r="AH227"/>
  <c r="AD227"/>
  <c r="AG225"/>
  <c r="AH225"/>
  <c r="AD225"/>
  <c r="AG223"/>
  <c r="AH223"/>
  <c r="AD223"/>
  <c r="AD243"/>
  <c r="AG243"/>
  <c r="Q232"/>
  <c r="W232"/>
  <c r="AG221"/>
  <c r="AH221"/>
  <c r="AD221"/>
  <c r="AH217"/>
  <c r="AD217"/>
  <c r="AG217"/>
  <c r="W181"/>
  <c r="Q181"/>
  <c r="W176"/>
  <c r="Q176"/>
  <c r="W172"/>
  <c r="Q172"/>
  <c r="W168"/>
  <c r="Q168"/>
  <c r="W165"/>
  <c r="Q165"/>
  <c r="W161"/>
  <c r="Q161"/>
  <c r="W157"/>
  <c r="Q157"/>
  <c r="Q155"/>
  <c r="W155"/>
  <c r="U155"/>
  <c r="Q153"/>
  <c r="W153"/>
  <c r="U153"/>
  <c r="W150"/>
  <c r="Q150"/>
  <c r="W146"/>
  <c r="Q146"/>
  <c r="V143"/>
  <c r="P143"/>
  <c r="O10"/>
  <c r="Q141"/>
  <c r="W141"/>
  <c r="U141"/>
  <c r="W136"/>
  <c r="Q136"/>
  <c r="W132"/>
  <c r="Q132"/>
  <c r="W128"/>
  <c r="Q128"/>
  <c r="W122"/>
  <c r="Q122"/>
  <c r="W116"/>
  <c r="U116"/>
  <c r="Q116"/>
  <c r="W113"/>
  <c r="Q113"/>
  <c r="W109"/>
  <c r="Q109"/>
  <c r="Q106"/>
  <c r="W106"/>
  <c r="U106"/>
  <c r="Q104"/>
  <c r="W104"/>
  <c r="U104"/>
  <c r="AH186"/>
  <c r="AD186"/>
  <c r="AG186"/>
  <c r="AH185"/>
  <c r="AD185"/>
  <c r="AG185"/>
  <c r="W95"/>
  <c r="Q95"/>
  <c r="Q93"/>
  <c r="W93"/>
  <c r="U93"/>
  <c r="W90"/>
  <c r="Q90"/>
  <c r="W86"/>
  <c r="Q86"/>
  <c r="W82"/>
  <c r="Q82"/>
  <c r="W79"/>
  <c r="Q79"/>
  <c r="W76"/>
  <c r="Q76"/>
  <c r="W72"/>
  <c r="Q72"/>
  <c r="W65"/>
  <c r="Q65"/>
  <c r="W61"/>
  <c r="Q61"/>
  <c r="W58"/>
  <c r="Q58"/>
  <c r="W53"/>
  <c r="Q53"/>
  <c r="W48"/>
  <c r="Q48"/>
  <c r="W40"/>
  <c r="U40"/>
  <c r="Q40"/>
  <c r="W35"/>
  <c r="Q35"/>
  <c r="W30"/>
  <c r="Q30"/>
  <c r="W25"/>
  <c r="Q25"/>
  <c r="W21"/>
  <c r="Q21"/>
  <c r="Q19"/>
  <c r="W19"/>
  <c r="Y19" s="1"/>
  <c r="U19"/>
  <c r="W14"/>
  <c r="Q14"/>
  <c r="O263"/>
  <c r="P263"/>
  <c r="V10"/>
  <c r="Y48" l="1"/>
  <c r="AB48" s="1"/>
  <c r="Y76"/>
  <c r="AB76" s="1"/>
  <c r="Y150"/>
  <c r="AB150" s="1"/>
  <c r="Y157"/>
  <c r="AB157" s="1"/>
  <c r="Y161"/>
  <c r="AB161" s="1"/>
  <c r="Y168"/>
  <c r="AB168" s="1"/>
  <c r="Y176"/>
  <c r="AB176" s="1"/>
  <c r="Y21"/>
  <c r="AB21" s="1"/>
  <c r="Y25"/>
  <c r="AB25" s="1"/>
  <c r="Y30"/>
  <c r="AB30" s="1"/>
  <c r="Y35"/>
  <c r="AB35" s="1"/>
  <c r="Y95"/>
  <c r="AB95" s="1"/>
  <c r="Y104"/>
  <c r="AB104" s="1"/>
  <c r="Y109"/>
  <c r="AB109" s="1"/>
  <c r="Y113"/>
  <c r="AB113" s="1"/>
  <c r="Y155"/>
  <c r="AB155" s="1"/>
  <c r="Y232"/>
  <c r="AB232" s="1"/>
  <c r="Y248"/>
  <c r="AB248" s="1"/>
  <c r="Y253"/>
  <c r="AB253" s="1"/>
  <c r="Y258"/>
  <c r="AB258" s="1"/>
  <c r="Y99"/>
  <c r="AB99" s="1"/>
  <c r="Y102"/>
  <c r="AB102" s="1"/>
  <c r="Y12"/>
  <c r="AB12" s="1"/>
  <c r="Y23"/>
  <c r="AB23" s="1"/>
  <c r="Y27"/>
  <c r="AB27" s="1"/>
  <c r="Y29"/>
  <c r="AB29" s="1"/>
  <c r="Y81"/>
  <c r="AB81" s="1"/>
  <c r="Y84"/>
  <c r="AB84" s="1"/>
  <c r="Y88"/>
  <c r="AB88" s="1"/>
  <c r="Y92"/>
  <c r="AB92" s="1"/>
  <c r="Y101"/>
  <c r="AB101" s="1"/>
  <c r="Y107"/>
  <c r="AB107" s="1"/>
  <c r="Y111"/>
  <c r="AB111" s="1"/>
  <c r="Y114"/>
  <c r="AB114" s="1"/>
  <c r="Y119"/>
  <c r="AB119" s="1"/>
  <c r="Y125"/>
  <c r="AB125" s="1"/>
  <c r="AD125" s="1"/>
  <c r="Y130"/>
  <c r="AB130" s="1"/>
  <c r="Y135"/>
  <c r="AB135" s="1"/>
  <c r="AH135" s="1"/>
  <c r="Y138"/>
  <c r="AB138" s="1"/>
  <c r="Y142"/>
  <c r="AB142" s="1"/>
  <c r="AH142" s="1"/>
  <c r="Y156"/>
  <c r="AB156" s="1"/>
  <c r="Y160"/>
  <c r="AB160" s="1"/>
  <c r="AH160" s="1"/>
  <c r="Y163"/>
  <c r="AB163" s="1"/>
  <c r="Y167"/>
  <c r="AB167" s="1"/>
  <c r="AH167" s="1"/>
  <c r="Y188"/>
  <c r="AB188" s="1"/>
  <c r="Y194"/>
  <c r="AB194" s="1"/>
  <c r="AH194" s="1"/>
  <c r="Y198"/>
  <c r="AB198" s="1"/>
  <c r="Y201"/>
  <c r="AB201" s="1"/>
  <c r="AH201" s="1"/>
  <c r="Y204"/>
  <c r="AB204" s="1"/>
  <c r="Y208"/>
  <c r="AB208" s="1"/>
  <c r="AH208" s="1"/>
  <c r="Y213"/>
  <c r="AB213" s="1"/>
  <c r="Y218"/>
  <c r="AB218" s="1"/>
  <c r="AH218" s="1"/>
  <c r="Y240"/>
  <c r="AB240" s="1"/>
  <c r="Y251"/>
  <c r="AB251" s="1"/>
  <c r="Y255"/>
  <c r="AB255" s="1"/>
  <c r="Y228"/>
  <c r="AB228" s="1"/>
  <c r="Y14"/>
  <c r="AB14" s="1"/>
  <c r="Y40"/>
  <c r="AB40" s="1"/>
  <c r="Y53"/>
  <c r="AB53" s="1"/>
  <c r="Y58"/>
  <c r="AB58" s="1"/>
  <c r="Y61"/>
  <c r="AB61" s="1"/>
  <c r="Y65"/>
  <c r="AB65" s="1"/>
  <c r="Y72"/>
  <c r="AB72" s="1"/>
  <c r="Y79"/>
  <c r="AB79" s="1"/>
  <c r="Y82"/>
  <c r="AB82" s="1"/>
  <c r="Y86"/>
  <c r="AB86" s="1"/>
  <c r="Y90"/>
  <c r="AB90" s="1"/>
  <c r="Y93"/>
  <c r="AB93" s="1"/>
  <c r="Y106"/>
  <c r="AB106" s="1"/>
  <c r="Y116"/>
  <c r="AB116" s="1"/>
  <c r="Y122"/>
  <c r="AB122" s="1"/>
  <c r="Y128"/>
  <c r="AB128" s="1"/>
  <c r="Y132"/>
  <c r="AB132" s="1"/>
  <c r="Y136"/>
  <c r="AB136" s="1"/>
  <c r="Y141"/>
  <c r="AB141" s="1"/>
  <c r="Y146"/>
  <c r="AB146" s="1"/>
  <c r="Y153"/>
  <c r="AB153" s="1"/>
  <c r="Y165"/>
  <c r="AB165" s="1"/>
  <c r="Y172"/>
  <c r="AB172" s="1"/>
  <c r="Y181"/>
  <c r="AB181" s="1"/>
  <c r="Y231"/>
  <c r="AB231" s="1"/>
  <c r="Y234"/>
  <c r="AB234" s="1"/>
  <c r="Y237"/>
  <c r="AB237" s="1"/>
  <c r="Y193"/>
  <c r="AB193" s="1"/>
  <c r="Y196"/>
  <c r="AB196" s="1"/>
  <c r="Y200"/>
  <c r="AB200" s="1"/>
  <c r="Y203"/>
  <c r="AB203" s="1"/>
  <c r="Y206"/>
  <c r="AB206" s="1"/>
  <c r="Y211"/>
  <c r="AB211" s="1"/>
  <c r="Y215"/>
  <c r="AB215" s="1"/>
  <c r="Y260"/>
  <c r="AB260" s="1"/>
  <c r="Y17"/>
  <c r="AB17" s="1"/>
  <c r="Y20"/>
  <c r="AB20" s="1"/>
  <c r="Y32"/>
  <c r="AB32" s="1"/>
  <c r="Y38"/>
  <c r="AB38" s="1"/>
  <c r="Y47"/>
  <c r="AB47" s="1"/>
  <c r="Y51"/>
  <c r="AB51" s="1"/>
  <c r="Y56"/>
  <c r="AB56" s="1"/>
  <c r="Y59"/>
  <c r="AB59" s="1"/>
  <c r="Y63"/>
  <c r="AB63" s="1"/>
  <c r="Y69"/>
  <c r="AB69" s="1"/>
  <c r="Y73"/>
  <c r="AB73" s="1"/>
  <c r="Y78"/>
  <c r="AB78" s="1"/>
  <c r="Y94"/>
  <c r="AB94" s="1"/>
  <c r="Y187"/>
  <c r="AB187" s="1"/>
  <c r="Y105"/>
  <c r="AB105" s="1"/>
  <c r="Y144"/>
  <c r="AB144" s="1"/>
  <c r="Y148"/>
  <c r="AB148" s="1"/>
  <c r="Y151"/>
  <c r="AB151" s="1"/>
  <c r="Y154"/>
  <c r="AB154" s="1"/>
  <c r="Y170"/>
  <c r="AB170" s="1"/>
  <c r="Y174"/>
  <c r="AB174" s="1"/>
  <c r="Y178"/>
  <c r="AB178" s="1"/>
  <c r="Y180"/>
  <c r="AB180" s="1"/>
  <c r="Y259"/>
  <c r="AB259" s="1"/>
  <c r="Y224"/>
  <c r="AB224" s="1"/>
  <c r="Y236"/>
  <c r="AB236" s="1"/>
  <c r="AH18"/>
  <c r="AG18"/>
  <c r="AD18"/>
  <c r="AG134"/>
  <c r="AD134"/>
  <c r="AH134"/>
  <c r="AH140"/>
  <c r="AG140"/>
  <c r="AD140"/>
  <c r="AG145"/>
  <c r="AD145"/>
  <c r="AH145"/>
  <c r="AG171"/>
  <c r="AD171"/>
  <c r="AH171"/>
  <c r="AH24"/>
  <c r="AG24"/>
  <c r="AD24"/>
  <c r="AH36"/>
  <c r="AD36"/>
  <c r="AH55"/>
  <c r="AG55"/>
  <c r="AD55"/>
  <c r="AG124"/>
  <c r="AD124"/>
  <c r="AH124"/>
  <c r="AH149"/>
  <c r="AG149"/>
  <c r="AD149"/>
  <c r="AG166"/>
  <c r="AD166"/>
  <c r="AH166"/>
  <c r="AH175"/>
  <c r="AG175"/>
  <c r="AD175"/>
  <c r="AG22"/>
  <c r="AD22"/>
  <c r="AH22"/>
  <c r="AH34"/>
  <c r="AG34"/>
  <c r="AD34"/>
  <c r="AG57"/>
  <c r="AD57"/>
  <c r="AH57"/>
  <c r="AG75"/>
  <c r="AD75"/>
  <c r="AH75"/>
  <c r="AG97"/>
  <c r="AH97"/>
  <c r="AD97"/>
  <c r="AD126"/>
  <c r="AH126"/>
  <c r="AG126"/>
  <c r="AH158"/>
  <c r="AG158"/>
  <c r="AD158"/>
  <c r="AH169"/>
  <c r="AG169"/>
  <c r="AD169"/>
  <c r="AG177"/>
  <c r="AD177"/>
  <c r="AH177"/>
  <c r="AD249"/>
  <c r="AH249"/>
  <c r="AG249"/>
  <c r="AG247"/>
  <c r="AH247"/>
  <c r="AD247"/>
  <c r="AH13"/>
  <c r="AG13"/>
  <c r="AD13"/>
  <c r="AH31"/>
  <c r="AG31"/>
  <c r="AD31"/>
  <c r="AH33"/>
  <c r="AG33"/>
  <c r="AD33"/>
  <c r="AH37"/>
  <c r="AG37"/>
  <c r="AD37"/>
  <c r="AG39"/>
  <c r="AD39"/>
  <c r="AH39"/>
  <c r="AD44"/>
  <c r="AH44"/>
  <c r="AG44"/>
  <c r="AG52"/>
  <c r="AD52"/>
  <c r="AH52"/>
  <c r="AH60"/>
  <c r="AG60"/>
  <c r="AD60"/>
  <c r="AG64"/>
  <c r="AD64"/>
  <c r="AH64"/>
  <c r="AH68"/>
  <c r="AG68"/>
  <c r="AD68"/>
  <c r="AH74"/>
  <c r="AG74"/>
  <c r="AD74"/>
  <c r="AH85"/>
  <c r="AG85"/>
  <c r="AD85"/>
  <c r="AG89"/>
  <c r="AD89"/>
  <c r="AH89"/>
  <c r="AD96"/>
  <c r="AG96"/>
  <c r="AH96"/>
  <c r="AH108"/>
  <c r="AG108"/>
  <c r="AD108"/>
  <c r="AH112"/>
  <c r="AG112"/>
  <c r="AD112"/>
  <c r="AH121"/>
  <c r="AG121"/>
  <c r="AD121"/>
  <c r="AH127"/>
  <c r="AG127"/>
  <c r="AD127"/>
  <c r="AH131"/>
  <c r="AG131"/>
  <c r="AD131"/>
  <c r="AH137"/>
  <c r="AG137"/>
  <c r="AD137"/>
  <c r="AH159"/>
  <c r="AG159"/>
  <c r="AD159"/>
  <c r="AH184"/>
  <c r="AG184"/>
  <c r="AD184"/>
  <c r="AD214"/>
  <c r="AH214"/>
  <c r="AG214"/>
  <c r="AD219"/>
  <c r="AH219"/>
  <c r="AG219"/>
  <c r="AH238"/>
  <c r="AG238"/>
  <c r="AD238"/>
  <c r="AG256"/>
  <c r="AD256"/>
  <c r="AH256"/>
  <c r="AH230"/>
  <c r="AG230"/>
  <c r="AD230"/>
  <c r="AD41"/>
  <c r="AG41"/>
  <c r="AH41"/>
  <c r="AG71"/>
  <c r="AH71"/>
  <c r="AH16"/>
  <c r="AD16"/>
  <c r="AG16"/>
  <c r="AH26"/>
  <c r="AG26"/>
  <c r="AD26"/>
  <c r="AH43"/>
  <c r="AD43"/>
  <c r="AD67"/>
  <c r="AG67"/>
  <c r="AH67"/>
  <c r="AH80"/>
  <c r="AG80"/>
  <c r="AD80"/>
  <c r="AD120"/>
  <c r="AH120"/>
  <c r="AG120"/>
  <c r="AH147"/>
  <c r="AD147"/>
  <c r="AG147"/>
  <c r="AH164"/>
  <c r="AG164"/>
  <c r="AD164"/>
  <c r="AH173"/>
  <c r="AD173"/>
  <c r="AG173"/>
  <c r="AH261"/>
  <c r="AD261"/>
  <c r="AH15"/>
  <c r="AD15"/>
  <c r="AD42"/>
  <c r="AG42"/>
  <c r="AH42"/>
  <c r="AH46"/>
  <c r="AG46"/>
  <c r="AD46"/>
  <c r="AD54"/>
  <c r="AG54"/>
  <c r="AH54"/>
  <c r="AH62"/>
  <c r="AG62"/>
  <c r="AD62"/>
  <c r="AD66"/>
  <c r="AG66"/>
  <c r="AH66"/>
  <c r="AD70"/>
  <c r="AH70"/>
  <c r="AG70"/>
  <c r="AH83"/>
  <c r="AD83"/>
  <c r="AG83"/>
  <c r="AH87"/>
  <c r="AG87"/>
  <c r="AD87"/>
  <c r="AH91"/>
  <c r="AD91"/>
  <c r="AG91"/>
  <c r="AD98"/>
  <c r="AH98"/>
  <c r="AG98"/>
  <c r="AG110"/>
  <c r="AH110"/>
  <c r="AH117"/>
  <c r="AD117"/>
  <c r="AH123"/>
  <c r="AD123"/>
  <c r="AG129"/>
  <c r="AH129"/>
  <c r="AH133"/>
  <c r="AD133"/>
  <c r="AH139"/>
  <c r="AD139"/>
  <c r="AH152"/>
  <c r="AD152"/>
  <c r="AG152"/>
  <c r="AD182"/>
  <c r="AH182"/>
  <c r="AG182"/>
  <c r="AH202"/>
  <c r="AD202"/>
  <c r="AH212"/>
  <c r="AD212"/>
  <c r="AH216"/>
  <c r="AD216"/>
  <c r="AB11"/>
  <c r="AH11" s="1"/>
  <c r="W143"/>
  <c r="Y143" s="1"/>
  <c r="Q143"/>
  <c r="Q263" s="1"/>
  <c r="U263"/>
  <c r="X143"/>
  <c r="V263"/>
  <c r="AD119"/>
  <c r="AH125"/>
  <c r="AG125"/>
  <c r="AD130"/>
  <c r="AG135"/>
  <c r="AD135"/>
  <c r="AD138"/>
  <c r="AG142"/>
  <c r="AD142"/>
  <c r="AH156"/>
  <c r="AG160"/>
  <c r="AD160"/>
  <c r="AD163"/>
  <c r="AG167"/>
  <c r="AD167"/>
  <c r="AD188"/>
  <c r="AG194"/>
  <c r="AD194"/>
  <c r="AH198"/>
  <c r="AG201"/>
  <c r="AD201"/>
  <c r="AH204"/>
  <c r="AG208"/>
  <c r="AD208"/>
  <c r="AH213"/>
  <c r="AG218"/>
  <c r="AD218"/>
  <c r="AD240"/>
  <c r="AH251"/>
  <c r="AD251"/>
  <c r="AG251"/>
  <c r="AH255"/>
  <c r="AD255"/>
  <c r="AG255"/>
  <c r="AB257"/>
  <c r="AD236" l="1"/>
  <c r="AH236"/>
  <c r="AG236"/>
  <c r="AG259"/>
  <c r="AD259"/>
  <c r="AH259"/>
  <c r="AH178"/>
  <c r="AG178"/>
  <c r="AD178"/>
  <c r="AH170"/>
  <c r="AG170"/>
  <c r="AD170"/>
  <c r="AH151"/>
  <c r="AG151"/>
  <c r="AD151"/>
  <c r="AH144"/>
  <c r="AG144"/>
  <c r="AD144"/>
  <c r="AH187"/>
  <c r="AG187"/>
  <c r="AD187"/>
  <c r="AG78"/>
  <c r="AD78"/>
  <c r="AH78"/>
  <c r="AH69"/>
  <c r="AG69"/>
  <c r="AD69"/>
  <c r="AH59"/>
  <c r="AG59"/>
  <c r="AD59"/>
  <c r="AH51"/>
  <c r="AG51"/>
  <c r="AD51"/>
  <c r="AH38"/>
  <c r="AG38"/>
  <c r="AD38"/>
  <c r="AG20"/>
  <c r="AD20"/>
  <c r="AH20"/>
  <c r="AD260"/>
  <c r="AH260"/>
  <c r="AG260"/>
  <c r="AH211"/>
  <c r="AG211"/>
  <c r="AD211"/>
  <c r="AD203"/>
  <c r="AH203"/>
  <c r="AG203"/>
  <c r="AH196"/>
  <c r="AG196"/>
  <c r="AD196"/>
  <c r="AD237"/>
  <c r="AH237"/>
  <c r="AG237"/>
  <c r="AD231"/>
  <c r="AH231"/>
  <c r="AG231"/>
  <c r="AH172"/>
  <c r="AG172"/>
  <c r="AD172"/>
  <c r="AH153"/>
  <c r="AG153"/>
  <c r="AD153"/>
  <c r="AG141"/>
  <c r="AD141"/>
  <c r="AH141"/>
  <c r="AH132"/>
  <c r="AG132"/>
  <c r="AD132"/>
  <c r="AH122"/>
  <c r="AG122"/>
  <c r="AD122"/>
  <c r="AG106"/>
  <c r="AD106"/>
  <c r="AH106"/>
  <c r="AH90"/>
  <c r="AG90"/>
  <c r="AD90"/>
  <c r="AH82"/>
  <c r="AG82"/>
  <c r="AD82"/>
  <c r="AH72"/>
  <c r="AG72"/>
  <c r="AD72"/>
  <c r="AD61"/>
  <c r="AH61"/>
  <c r="AG61"/>
  <c r="AD53"/>
  <c r="AH53"/>
  <c r="AG53"/>
  <c r="AH14"/>
  <c r="AG14"/>
  <c r="AD14"/>
  <c r="AH240"/>
  <c r="AG240"/>
  <c r="AG213"/>
  <c r="AD213"/>
  <c r="AG204"/>
  <c r="AD204"/>
  <c r="AG198"/>
  <c r="AD198"/>
  <c r="AG188"/>
  <c r="AH188"/>
  <c r="AH163"/>
  <c r="AG163"/>
  <c r="AG156"/>
  <c r="AD156"/>
  <c r="AH138"/>
  <c r="AG138"/>
  <c r="AH130"/>
  <c r="AG130"/>
  <c r="AH119"/>
  <c r="AG119"/>
  <c r="AH111"/>
  <c r="AG111"/>
  <c r="AD111"/>
  <c r="AH101"/>
  <c r="AG101"/>
  <c r="AD101"/>
  <c r="AH88"/>
  <c r="AG88"/>
  <c r="AD88"/>
  <c r="AG81"/>
  <c r="AD81"/>
  <c r="AH81"/>
  <c r="AH27"/>
  <c r="AG27"/>
  <c r="AD27"/>
  <c r="AH12"/>
  <c r="AG12"/>
  <c r="AD12"/>
  <c r="AG99"/>
  <c r="AD99"/>
  <c r="AH99"/>
  <c r="AD253"/>
  <c r="AH253"/>
  <c r="AG253"/>
  <c r="AH232"/>
  <c r="AG232"/>
  <c r="AD232"/>
  <c r="AH113"/>
  <c r="AG113"/>
  <c r="AD113"/>
  <c r="AH104"/>
  <c r="AG104"/>
  <c r="AD104"/>
  <c r="AD35"/>
  <c r="AH35"/>
  <c r="AG35"/>
  <c r="AD25"/>
  <c r="AH25"/>
  <c r="AG25"/>
  <c r="AD176"/>
  <c r="AH176"/>
  <c r="AG176"/>
  <c r="AD161"/>
  <c r="AH161"/>
  <c r="AG161"/>
  <c r="AG150"/>
  <c r="AD150"/>
  <c r="AH150"/>
  <c r="AH48"/>
  <c r="AG48"/>
  <c r="AD48"/>
  <c r="AG224"/>
  <c r="AD224"/>
  <c r="AH224"/>
  <c r="AH180"/>
  <c r="AG180"/>
  <c r="AD180"/>
  <c r="AD174"/>
  <c r="AH174"/>
  <c r="AG174"/>
  <c r="AH154"/>
  <c r="AG154"/>
  <c r="AD154"/>
  <c r="AD148"/>
  <c r="AH148"/>
  <c r="AG148"/>
  <c r="AH105"/>
  <c r="AG105"/>
  <c r="AD105"/>
  <c r="AH94"/>
  <c r="AG94"/>
  <c r="AD94"/>
  <c r="AD73"/>
  <c r="AH73"/>
  <c r="AG73"/>
  <c r="AD63"/>
  <c r="AH63"/>
  <c r="AG63"/>
  <c r="AD56"/>
  <c r="AH56"/>
  <c r="AG56"/>
  <c r="AH47"/>
  <c r="AG47"/>
  <c r="AD47"/>
  <c r="AD32"/>
  <c r="AH32"/>
  <c r="AG32"/>
  <c r="AD17"/>
  <c r="AH17"/>
  <c r="AG17"/>
  <c r="AG215"/>
  <c r="AD215"/>
  <c r="AH215"/>
  <c r="AG206"/>
  <c r="AD206"/>
  <c r="AH206"/>
  <c r="AH200"/>
  <c r="AG200"/>
  <c r="AD200"/>
  <c r="AH193"/>
  <c r="AG193"/>
  <c r="AD193"/>
  <c r="AG234"/>
  <c r="AH234"/>
  <c r="AD234"/>
  <c r="AH181"/>
  <c r="AG181"/>
  <c r="AD181"/>
  <c r="AH165"/>
  <c r="AG165"/>
  <c r="AD165"/>
  <c r="AD146"/>
  <c r="AH146"/>
  <c r="AG146"/>
  <c r="AD136"/>
  <c r="AH136"/>
  <c r="AG136"/>
  <c r="AD128"/>
  <c r="AH128"/>
  <c r="AG128"/>
  <c r="AD116"/>
  <c r="AH116"/>
  <c r="AG116"/>
  <c r="AH93"/>
  <c r="AG93"/>
  <c r="AD93"/>
  <c r="AD86"/>
  <c r="AH86"/>
  <c r="AG86"/>
  <c r="AD79"/>
  <c r="AH79"/>
  <c r="AG79"/>
  <c r="AH65"/>
  <c r="AG65"/>
  <c r="AD65"/>
  <c r="AG58"/>
  <c r="AD58"/>
  <c r="AH58"/>
  <c r="AD40"/>
  <c r="AH40"/>
  <c r="AG40"/>
  <c r="AG228"/>
  <c r="AD228"/>
  <c r="AH228"/>
  <c r="AD114"/>
  <c r="AH114"/>
  <c r="AG114"/>
  <c r="AD107"/>
  <c r="AH107"/>
  <c r="AG107"/>
  <c r="AH92"/>
  <c r="AG92"/>
  <c r="AD92"/>
  <c r="AD84"/>
  <c r="AH84"/>
  <c r="AG84"/>
  <c r="AH29"/>
  <c r="AG29"/>
  <c r="AD29"/>
  <c r="AD23"/>
  <c r="AH23"/>
  <c r="AG23"/>
  <c r="AD102"/>
  <c r="AH102"/>
  <c r="AG102"/>
  <c r="AG258"/>
  <c r="AD258"/>
  <c r="AH258"/>
  <c r="AH248"/>
  <c r="AG248"/>
  <c r="AD248"/>
  <c r="AG155"/>
  <c r="AD155"/>
  <c r="AH155"/>
  <c r="AH109"/>
  <c r="AG109"/>
  <c r="AD109"/>
  <c r="AH95"/>
  <c r="AG95"/>
  <c r="AD95"/>
  <c r="AH30"/>
  <c r="AG30"/>
  <c r="AD30"/>
  <c r="AH21"/>
  <c r="AG21"/>
  <c r="AD21"/>
  <c r="AD168"/>
  <c r="AH168"/>
  <c r="AG168"/>
  <c r="AH157"/>
  <c r="AG157"/>
  <c r="AD157"/>
  <c r="AH76"/>
  <c r="AG76"/>
  <c r="AD76"/>
  <c r="Y263"/>
  <c r="Y10"/>
  <c r="AG257"/>
  <c r="AH257"/>
  <c r="AD257"/>
  <c r="X10"/>
  <c r="X263"/>
  <c r="AB19"/>
  <c r="AB143"/>
  <c r="W263"/>
  <c r="W10"/>
  <c r="AB263"/>
  <c r="AD11"/>
  <c r="AG11"/>
  <c r="AB10"/>
  <c r="Q10"/>
  <c r="AG19" l="1"/>
  <c r="AH19"/>
  <c r="AD19"/>
  <c r="AG143"/>
  <c r="AH143"/>
  <c r="AD143"/>
  <c r="AD10" l="1"/>
  <c r="AG10"/>
  <c r="AH10"/>
  <c r="AD263"/>
  <c r="AH263"/>
  <c r="AG263"/>
</calcChain>
</file>

<file path=xl/comments1.xml><?xml version="1.0" encoding="utf-8"?>
<comments xmlns="http://schemas.openxmlformats.org/spreadsheetml/2006/main">
  <authors>
    <author>Надежда Ю. Созинова</author>
  </authors>
  <commentList>
    <comment ref="Y126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35376,1 перенесен на Адышево
</t>
        </r>
      </text>
    </comment>
    <comment ref="Y150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25254,4 перенесен на Адышево
</t>
        </r>
      </text>
    </comment>
    <comment ref="Y200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56875,88 перенесен на Адышево
 </t>
        </r>
      </text>
    </comment>
    <comment ref="Y203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56875,88 перенесен на Адышево
</t>
        </r>
      </text>
    </comment>
    <comment ref="Y209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перенесен на Адышево
</t>
        </r>
      </text>
    </comment>
    <comment ref="Y231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532354,75 перенесен на Адышево
</t>
        </r>
      </text>
    </comment>
  </commentList>
</comments>
</file>

<file path=xl/sharedStrings.xml><?xml version="1.0" encoding="utf-8"?>
<sst xmlns="http://schemas.openxmlformats.org/spreadsheetml/2006/main" count="1001" uniqueCount="358">
  <si>
    <t>Расчет лимита льготного краткосрочного кредита заемщикам, претендующим на получение льготного краткосрочного кредита в 2019 году</t>
  </si>
  <si>
    <t>№ п/п</t>
  </si>
  <si>
    <t>Наименование заемщика</t>
  </si>
  <si>
    <t>ИНН заемщика</t>
  </si>
  <si>
    <t>Направление  использования кредита</t>
  </si>
  <si>
    <t>Относится к малым формам (да /нет)</t>
  </si>
  <si>
    <t>Выручка</t>
  </si>
  <si>
    <t>Общая посевная площадь</t>
  </si>
  <si>
    <t>Планируемый месяц получения кредита</t>
  </si>
  <si>
    <t>Сумма льготного краткосрочного кредита, заявленная в Прогнозе на 2019 год, руб.</t>
  </si>
  <si>
    <t>Требуемая сумма субсидий по заявленным льготным краткосрочным кредитам, руб.</t>
  </si>
  <si>
    <t>Сумма льготного краткосрочного кредита относительно Плана льготного кредитования 950863310/158019206,25=0,606656…. И затем поститали в каком размере мы можем выдать кредит каждому заемщику в пределах Плана льготного кредитования, тоесть 2 355 160 179,03</t>
  </si>
  <si>
    <t>Лимит субсидий, установленный Планом льготного  кредитования МСХ РФ (без кредитов, принятых к субсидированию в 2018 году) на 17.01.2019, руб.</t>
  </si>
  <si>
    <t>Недостающая сумма лимита субсидий, установленного Планом МСХ РФ к требуемой сумме субсидий, руб.</t>
  </si>
  <si>
    <t>Коэффициент корректировки лимита субсидий, установленного Планом льготного  кредитования МСХ РФ к требуемой сумме субсидий по заявленным льготным краткосрочным кредитам, руб.</t>
  </si>
  <si>
    <t>Январь кредит. Кредиты одобренные комиссией в январе</t>
  </si>
  <si>
    <t>Использовано субсидий в январе (протокол от 28.01.2019)</t>
  </si>
  <si>
    <t xml:space="preserve">должны были получить субсидий в январе из расчета коэффициента 0,606656065898319 </t>
  </si>
  <si>
    <t>Лимит льготного краткосрочного кредита (максимальная сумма) по заемщикам Кировской области, претендующим на получение льготного краткосрочного кредита в 2019 году с учетом коэффициента корректировки, руб.(2 335 160 179,03-643240000=1 711 920 179,03)</t>
  </si>
  <si>
    <r>
      <t xml:space="preserve">Сумма субсидии по заемщикам Кировской области, претендующим на получение льготного краткосрочного кредита в 2019 году с учетом коэффициента корректировки </t>
    </r>
    <r>
      <rPr>
        <b/>
        <sz val="10"/>
        <color indexed="8"/>
        <rFont val="Times New Roman"/>
        <family val="1"/>
        <charset val="204"/>
      </rPr>
      <t>в соответствии с периодом получения кредита, заявленным в Прогнозе на 2019 год</t>
    </r>
    <r>
      <rPr>
        <sz val="10"/>
        <color indexed="8"/>
        <rFont val="Times New Roman"/>
        <family val="1"/>
        <charset val="204"/>
      </rPr>
      <t>, руб.(95 863 310-37 351 540=58511770)</t>
    </r>
  </si>
  <si>
    <r>
      <t xml:space="preserve">Максимальная сумма кредита по заемщикам, </t>
    </r>
    <r>
      <rPr>
        <b/>
        <sz val="10"/>
        <color indexed="8"/>
        <rFont val="Times New Roman"/>
        <family val="1"/>
        <charset val="204"/>
      </rPr>
      <t>в соответствии с периодом получения кредита, заявленным в Прогнозе на 2019 год</t>
    </r>
    <r>
      <rPr>
        <sz val="10"/>
        <color indexed="8"/>
        <rFont val="Times New Roman"/>
        <family val="1"/>
        <charset val="204"/>
      </rPr>
      <t>, руб.</t>
    </r>
  </si>
  <si>
    <t>Максимальная сумма субсидий по заемщикам с учетом коэффициента корректировки на 2019 год, руб.</t>
  </si>
  <si>
    <t>Использовано субсидий в феврале (протокол от 11.02.2019)</t>
  </si>
  <si>
    <t>Использовано субсидий в феврале (протокол от 25.02.2019)</t>
  </si>
  <si>
    <t>Остаток суммы субсидии по заемщикам на 2019 год, руб.</t>
  </si>
  <si>
    <t>Остаток суммы кредита по заемщикам на 2019 год, руб.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</si>
  <si>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марте </t>
    </r>
    <r>
      <rPr>
        <sz val="10"/>
        <color indexed="8"/>
        <rFont val="Times New Roman"/>
        <family val="1"/>
        <charset val="204"/>
      </rPr>
      <t xml:space="preserve"> 2019 года, руб.</t>
    </r>
  </si>
  <si>
    <t>Использовано субсидий (протокол от 01.04.2019)</t>
  </si>
  <si>
    <t>ОТКАЗ от получения льготного кредита</t>
  </si>
  <si>
    <t xml:space="preserve">Остаток субсидии 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</si>
  <si>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апреле </t>
    </r>
    <r>
      <rPr>
        <sz val="10"/>
        <color indexed="8"/>
        <rFont val="Times New Roman"/>
        <family val="1"/>
        <charset val="204"/>
      </rPr>
      <t xml:space="preserve"> 2019 года, руб.</t>
    </r>
  </si>
  <si>
    <t>Выбрано кредитов (протокол от 01.04.2019)</t>
  </si>
  <si>
    <t>3</t>
  </si>
  <si>
    <t>скрыто</t>
  </si>
  <si>
    <t>9=7-8</t>
  </si>
  <si>
    <t>10=8/7</t>
  </si>
  <si>
    <t>ск</t>
  </si>
  <si>
    <t>Х</t>
  </si>
  <si>
    <t>СПК "Нива"</t>
  </si>
  <si>
    <t>4301002231</t>
  </si>
  <si>
    <t>растениеводство</t>
  </si>
  <si>
    <t>да</t>
  </si>
  <si>
    <t>ООО "СХП "Родина"</t>
  </si>
  <si>
    <t>4301002305</t>
  </si>
  <si>
    <t>4301002306</t>
  </si>
  <si>
    <t>ООО "СХП "Виктория"</t>
  </si>
  <si>
    <t>4301002312</t>
  </si>
  <si>
    <t>ОАО "Агрофирма "Гордино"</t>
  </si>
  <si>
    <t>4302002058</t>
  </si>
  <si>
    <t xml:space="preserve">молочное скотоводство </t>
  </si>
  <si>
    <t>СПК Восход</t>
  </si>
  <si>
    <t>4303000991</t>
  </si>
  <si>
    <t>СПК "Быданово</t>
  </si>
  <si>
    <t>4303003992</t>
  </si>
  <si>
    <t>СПК "Луч"</t>
  </si>
  <si>
    <t>4303004019</t>
  </si>
  <si>
    <t>ООО "Суворовское"</t>
  </si>
  <si>
    <t>4303004499</t>
  </si>
  <si>
    <t>СХПК им.Кирова</t>
  </si>
  <si>
    <t>430300920</t>
  </si>
  <si>
    <t>ЗАО "Агрофирма Среднеивкино"</t>
  </si>
  <si>
    <t>4306000319</t>
  </si>
  <si>
    <t>Растениеводство</t>
  </si>
  <si>
    <t>СПК "Угор"</t>
  </si>
  <si>
    <t>4306002789</t>
  </si>
  <si>
    <t>СПК "Звезда"</t>
  </si>
  <si>
    <t>4306002820</t>
  </si>
  <si>
    <t>ООО "СХП "Пунгино"</t>
  </si>
  <si>
    <t>4306003359</t>
  </si>
  <si>
    <t>ИП Окунев А.Н., глава КФХ</t>
  </si>
  <si>
    <t>430600743752</t>
  </si>
  <si>
    <t>ОАО "Вятско-Полянская птицефабрика"</t>
  </si>
  <si>
    <t>4307003680</t>
  </si>
  <si>
    <t>животноводство</t>
  </si>
  <si>
    <t>ООО "Согласие-2"</t>
  </si>
  <si>
    <t>4307005197</t>
  </si>
  <si>
    <t>ИП Медведева Г. А -глава КФХ</t>
  </si>
  <si>
    <t>430700726101</t>
  </si>
  <si>
    <t>ООО "Русь"</t>
  </si>
  <si>
    <t>4307007733</t>
  </si>
  <si>
    <t>молочное скотоводство</t>
  </si>
  <si>
    <t>ООО "АПК "Союз"</t>
  </si>
  <si>
    <t>4307012290</t>
  </si>
  <si>
    <t>ООО "Родина-2"</t>
  </si>
  <si>
    <t>4307018213</t>
  </si>
  <si>
    <t>ИП глава КФХ Скурихин Юрий Александрович</t>
  </si>
  <si>
    <t>430800243010</t>
  </si>
  <si>
    <t>Сельскохозяйственный производственный кооператив-колхоз "Коммунизм"</t>
  </si>
  <si>
    <t>43081000642</t>
  </si>
  <si>
    <t>СПК Племенной завод "Новый"</t>
  </si>
  <si>
    <t>4309000733</t>
  </si>
  <si>
    <t>СПК племзавод "Соколовка"</t>
  </si>
  <si>
    <t>4309003131</t>
  </si>
  <si>
    <t>ОАО "Племзавод Мухинский"</t>
  </si>
  <si>
    <t>4309004456</t>
  </si>
  <si>
    <t>ООО "Агрофирма "Мухино"</t>
  </si>
  <si>
    <t>4309006365</t>
  </si>
  <si>
    <t>нет</t>
  </si>
  <si>
    <t>ИП, глава К(Ф)Х Чернышева Ирина Васильевна</t>
  </si>
  <si>
    <t>430901465562</t>
  </si>
  <si>
    <t>ИП, глава К(Ф)Х Дерендяева Татьяна Михайловна</t>
  </si>
  <si>
    <t>430900073379</t>
  </si>
  <si>
    <t>СХА (колхоз)  «Надежда»</t>
  </si>
  <si>
    <t>4310000618</t>
  </si>
  <si>
    <t>ООО «Вихаревский»</t>
  </si>
  <si>
    <t>4310033910</t>
  </si>
  <si>
    <t>СПК-колхоз «Заря»</t>
  </si>
  <si>
    <t>4310033934</t>
  </si>
  <si>
    <t>ООО Кировкая молочная компания</t>
  </si>
  <si>
    <t>4312021130</t>
  </si>
  <si>
    <t>ООО Кировская молочная компания</t>
  </si>
  <si>
    <t>СПК "Конып"</t>
  </si>
  <si>
    <t>4312025015</t>
  </si>
  <si>
    <t>ООО «Агрофирма «Чуваши»</t>
  </si>
  <si>
    <t>4312042109</t>
  </si>
  <si>
    <t>ООО "Агрофирма "Кстинино"</t>
  </si>
  <si>
    <t>4312042116</t>
  </si>
  <si>
    <t>ООО СХП "ПОЛОМСКОЕ"</t>
  </si>
  <si>
    <t>4312145337</t>
  </si>
  <si>
    <t>СПК колхоз "Искра"</t>
  </si>
  <si>
    <t>4313000060</t>
  </si>
  <si>
    <t>СПК колхоз "Колос"</t>
  </si>
  <si>
    <t>4313001120</t>
  </si>
  <si>
    <t>Ип (Глава КФХ) Савков Никита Валерьевич</t>
  </si>
  <si>
    <t>431300147670</t>
  </si>
  <si>
    <t>ОАО "Янтарь"</t>
  </si>
  <si>
    <t>4313003261</t>
  </si>
  <si>
    <t>4313003262</t>
  </si>
  <si>
    <t>ООО Агрофирма колхоз "Путь Ленина"</t>
  </si>
  <si>
    <t>4313009601</t>
  </si>
  <si>
    <t>СПК  "Знамя Ленина"</t>
  </si>
  <si>
    <t>4314000231</t>
  </si>
  <si>
    <t>СПК "Красное Знамя"</t>
  </si>
  <si>
    <t>4314000369</t>
  </si>
  <si>
    <t>уточн.молочн.скотов</t>
  </si>
  <si>
    <t>СПК "Березниковский"</t>
  </si>
  <si>
    <t>4314000626</t>
  </si>
  <si>
    <t>ОАО "Вожгальский маслодельно-сыродельный завод"</t>
  </si>
  <si>
    <t>4314001235</t>
  </si>
  <si>
    <t>4314001236</t>
  </si>
  <si>
    <t>4314001237</t>
  </si>
  <si>
    <t>ООО "Верхобыстрица"</t>
  </si>
  <si>
    <t>4314004148</t>
  </si>
  <si>
    <t>ЗАО племзавод "Октябрьский"</t>
  </si>
  <si>
    <t>4314004250</t>
  </si>
  <si>
    <t>СПК племзавод "Красный Октябрь"</t>
  </si>
  <si>
    <t>431400721</t>
  </si>
  <si>
    <t>КФХ "Лада"</t>
  </si>
  <si>
    <t>4315000065</t>
  </si>
  <si>
    <t>КФХ "Исток"</t>
  </si>
  <si>
    <t>4315000629</t>
  </si>
  <si>
    <t>КФХ "Надежда"</t>
  </si>
  <si>
    <t>4315001157</t>
  </si>
  <si>
    <t>ООО "Лебяжское"</t>
  </si>
  <si>
    <t>4315007247</t>
  </si>
  <si>
    <t>ИП ГКФХ Алембаев Валерий Алексеевич</t>
  </si>
  <si>
    <t>431500902908</t>
  </si>
  <si>
    <t>СПК СА (колхоз) «Гигант»</t>
  </si>
  <si>
    <t>4317000487</t>
  </si>
  <si>
    <t>СПК СА (колхоз) имени Мичурина</t>
  </si>
  <si>
    <t>4317000712</t>
  </si>
  <si>
    <t>СПК СА (колхоз) «Зерновой»</t>
  </si>
  <si>
    <t>4317000800</t>
  </si>
  <si>
    <t>ОАО агрофирма «Калинино»</t>
  </si>
  <si>
    <t>4317004770</t>
  </si>
  <si>
    <t>ООО агрофирма «Савали»</t>
  </si>
  <si>
    <t>4317004876</t>
  </si>
  <si>
    <t>ООО агрофирма «Малмыж»</t>
  </si>
  <si>
    <t>4317005005</t>
  </si>
  <si>
    <t>АО агрофирма «Смаиль»</t>
  </si>
  <si>
    <t>4317005076</t>
  </si>
  <si>
    <t>ООО « Заря»</t>
  </si>
  <si>
    <t>4317005171</t>
  </si>
  <si>
    <t>СПК (колхоз) "Заря"</t>
  </si>
  <si>
    <t>4319000059</t>
  </si>
  <si>
    <t>ООО "Природа-Агро"</t>
  </si>
  <si>
    <t>4320003015</t>
  </si>
  <si>
    <t>АО "Агрофирма "Немский"</t>
  </si>
  <si>
    <t>4320003054</t>
  </si>
  <si>
    <t>СХА колхоз «Ерёминский»</t>
  </si>
  <si>
    <t>4321000257</t>
  </si>
  <si>
    <t>СХА колхоз «Восход»</t>
  </si>
  <si>
    <t>4321000391</t>
  </si>
  <si>
    <t>СПК племколхоз «Шварихинский»</t>
  </si>
  <si>
    <t>4321000465</t>
  </si>
  <si>
    <t>уточнили молочн.скотов</t>
  </si>
  <si>
    <t>СПК колхоз «Ленинец»</t>
  </si>
  <si>
    <t>4321000666</t>
  </si>
  <si>
    <t>СХА колхоз «Ленинец»</t>
  </si>
  <si>
    <t>4321000667</t>
  </si>
  <si>
    <t>ООО «Майский»</t>
  </si>
  <si>
    <t>4321019321</t>
  </si>
  <si>
    <t xml:space="preserve">ИП, глава К(Ф)Х Медведева Елена </t>
  </si>
  <si>
    <t>432200039217</t>
  </si>
  <si>
    <t>ООО "Омутнинское рыбное хозяйство"</t>
  </si>
  <si>
    <t>4322010233</t>
  </si>
  <si>
    <t>ООО "АГРОФИРМА "КОРШИК"</t>
  </si>
  <si>
    <t>4324000760</t>
  </si>
  <si>
    <t>СПК племзавод "Гарский"</t>
  </si>
  <si>
    <t>4324000985</t>
  </si>
  <si>
    <t>ООО «Агрофирма «Адышево»</t>
  </si>
  <si>
    <t>4324007525</t>
  </si>
  <si>
    <t>ООО «Племзавод «Луговой»</t>
  </si>
  <si>
    <t>4324007532</t>
  </si>
  <si>
    <t>ООО "Вятский сельхозпроизводитель"</t>
  </si>
  <si>
    <t>4324008631</t>
  </si>
  <si>
    <t>уточн животнов</t>
  </si>
  <si>
    <t>АО "Лактис"</t>
  </si>
  <si>
    <t>4325000106</t>
  </si>
  <si>
    <t xml:space="preserve">СПК - колхоз "Ленинец" </t>
  </si>
  <si>
    <t>4325000177</t>
  </si>
  <si>
    <t>СХПК СА (колхоз) "Ошаевский"</t>
  </si>
  <si>
    <t>4325000280</t>
  </si>
  <si>
    <t>АО "Ижевское"</t>
  </si>
  <si>
    <t>4325002946</t>
  </si>
  <si>
    <t>АО "Ахмановское"</t>
  </si>
  <si>
    <t>4325003019</t>
  </si>
  <si>
    <t>СПК "Маяк"</t>
  </si>
  <si>
    <t>4326001159</t>
  </si>
  <si>
    <t>ООО "Подосиновский агрокомплекс"</t>
  </si>
  <si>
    <t>4326999882</t>
  </si>
  <si>
    <t>СХПК колхоз Заозерский</t>
  </si>
  <si>
    <t>4327000180</t>
  </si>
  <si>
    <t>ОАО Санчурский маслозавод</t>
  </si>
  <si>
    <t>4327000302</t>
  </si>
  <si>
    <t>уточнено молочное скотоводство</t>
  </si>
  <si>
    <t>ООО Рассвет</t>
  </si>
  <si>
    <t>4327003230</t>
  </si>
  <si>
    <t>Животноводство</t>
  </si>
  <si>
    <t>ООО "Октябрьское"</t>
  </si>
  <si>
    <t>4328002510</t>
  </si>
  <si>
    <t>ИП глава К(Ф)Х Азизов Рафик Кязым оглы ликвид</t>
  </si>
  <si>
    <t>43280093408</t>
  </si>
  <si>
    <t>СПК "Лекминский"</t>
  </si>
  <si>
    <t>4329000650</t>
  </si>
  <si>
    <t>развитие растениеводства</t>
  </si>
  <si>
    <t>СПК "Красная Талица"</t>
  </si>
  <si>
    <t>4329004510</t>
  </si>
  <si>
    <t>ООО "Зверохозяйство "Вятка"</t>
  </si>
  <si>
    <t>4329008459</t>
  </si>
  <si>
    <t>развитие животноводства</t>
  </si>
  <si>
    <t>ООО "Агрофирма "Бобино-М"</t>
  </si>
  <si>
    <t>4329013466</t>
  </si>
  <si>
    <t>СХПК-СА (колхоз) "Лошкаринский"</t>
  </si>
  <si>
    <t>4330000655</t>
  </si>
  <si>
    <t>ООО "Советская агрофирма"</t>
  </si>
  <si>
    <t>4330004233</t>
  </si>
  <si>
    <t>ООО "Агрофирма Надежда"</t>
  </si>
  <si>
    <t>4330004554</t>
  </si>
  <si>
    <t>АО "Мокинское"</t>
  </si>
  <si>
    <t>4330004586</t>
  </si>
  <si>
    <t>уточн растен</t>
  </si>
  <si>
    <t>АО "Русь"</t>
  </si>
  <si>
    <t>4330005244</t>
  </si>
  <si>
    <t>АО "Прогресс"</t>
  </si>
  <si>
    <t>4330005886</t>
  </si>
  <si>
    <t>ООО "Торговый Дом Агро"</t>
  </si>
  <si>
    <t>4330007266</t>
  </si>
  <si>
    <t>ООО "Агрохолдинг"</t>
  </si>
  <si>
    <t>4330007393</t>
  </si>
  <si>
    <t>ПСПК «Краснопольский»</t>
  </si>
  <si>
    <t>4331000023</t>
  </si>
  <si>
    <t>СПК (колхоз) «Сунский»</t>
  </si>
  <si>
    <t>4331000030</t>
  </si>
  <si>
    <t>СПК колхоз «Плельский»</t>
  </si>
  <si>
    <t>4331000136</t>
  </si>
  <si>
    <t>СПК колхоз «Большевик»</t>
  </si>
  <si>
    <t>4331000577</t>
  </si>
  <si>
    <t>ООО «Курчумское»</t>
  </si>
  <si>
    <t>4331002736</t>
  </si>
  <si>
    <t>4331002737</t>
  </si>
  <si>
    <t>4331002738</t>
  </si>
  <si>
    <t>ИП глава КФХ Кислицын  Олег Васильевич</t>
  </si>
  <si>
    <t>433200017663</t>
  </si>
  <si>
    <t>ИП глава КФХ Клепцов Владимир Александрович</t>
  </si>
  <si>
    <t>433200157205</t>
  </si>
  <si>
    <t>СПК колхоз "Новый"</t>
  </si>
  <si>
    <t>4332002489</t>
  </si>
  <si>
    <t>СХА (колхоз) "Грековский"</t>
  </si>
  <si>
    <t>4332006194</t>
  </si>
  <si>
    <t>4332006195</t>
  </si>
  <si>
    <t>ООО "СХП "Колос"</t>
  </si>
  <si>
    <t>4332006388</t>
  </si>
  <si>
    <t>СПК "Земледелец"</t>
  </si>
  <si>
    <t>4333002682</t>
  </si>
  <si>
    <t>ООО "СХП "Елгань"</t>
  </si>
  <si>
    <t>4333004320</t>
  </si>
  <si>
    <t>ООО "Дружба"</t>
  </si>
  <si>
    <t>4334005189</t>
  </si>
  <si>
    <t>ООО "Пригородное"</t>
  </si>
  <si>
    <t>4334006224</t>
  </si>
  <si>
    <t>ООО "Агрофирма Строитель</t>
  </si>
  <si>
    <t>4334008253</t>
  </si>
  <si>
    <t>ООО имени Кирова</t>
  </si>
  <si>
    <t>4334008630</t>
  </si>
  <si>
    <t>СПК- колхоз имени Ленина</t>
  </si>
  <si>
    <t>4335000264</t>
  </si>
  <si>
    <t>СПК колхоз имени Свердлова</t>
  </si>
  <si>
    <t>4335000289</t>
  </si>
  <si>
    <t>ОАО «имени Кирова»</t>
  </si>
  <si>
    <t>4335003603</t>
  </si>
  <si>
    <t>ООО «СПП-Верхосунское»</t>
  </si>
  <si>
    <t>4335003716</t>
  </si>
  <si>
    <t>Индивидуальный предприниматель глава крестьянского (фермерского) хозяйства Лекомцев Павел Анатольевич</t>
  </si>
  <si>
    <t>433500689120</t>
  </si>
  <si>
    <t>Индивидуальный предприниматель глава крестьянского (фермерского) хозяйства Ефремов Александр Юрьевич</t>
  </si>
  <si>
    <t>433500905099</t>
  </si>
  <si>
    <t>ИП глава КФХ Русаков Сергей Вениаминович</t>
  </si>
  <si>
    <t>433600117077</t>
  </si>
  <si>
    <t>СХЗАО "Тохтинское"</t>
  </si>
  <si>
    <t>4336001694</t>
  </si>
  <si>
    <t>ООО Агрофирма "Пригородная"</t>
  </si>
  <si>
    <t>4336003405</t>
  </si>
  <si>
    <t>ООО Агрофирма "Новый путь"</t>
  </si>
  <si>
    <t>4336003451</t>
  </si>
  <si>
    <t>ООО "Кленовицкое"</t>
  </si>
  <si>
    <t>4336003518</t>
  </si>
  <si>
    <t>ООО Агрофирма "Чудиновская"</t>
  </si>
  <si>
    <t>4336003772</t>
  </si>
  <si>
    <t>Общество с ограниченной ответственностью "СЕЛЬСКОХОЗЯЙСТВЕННОЕ ПРЕДПРИЯТИЕ "ВЫСОКОГОРСКИЙ"</t>
  </si>
  <si>
    <t>4337004634</t>
  </si>
  <si>
    <t>01.0М</t>
  </si>
  <si>
    <t>ООО "Агрофирма Подгорцы"</t>
  </si>
  <si>
    <t>4338007740</t>
  </si>
  <si>
    <t>4338007741</t>
  </si>
  <si>
    <t>ООО "Новомедянское"</t>
  </si>
  <si>
    <t>4338009674</t>
  </si>
  <si>
    <t>КФХ Лукоянова Юрия Витальевича</t>
  </si>
  <si>
    <t>4339001195</t>
  </si>
  <si>
    <t>ООО "Луч"</t>
  </si>
  <si>
    <t>4339005930</t>
  </si>
  <si>
    <t>СПССК "Южный"</t>
  </si>
  <si>
    <t>4339008627</t>
  </si>
  <si>
    <t>ООО "Льнозавод Знаменский"</t>
  </si>
  <si>
    <t>4339009155</t>
  </si>
  <si>
    <t>ООО "Шалагинское"</t>
  </si>
  <si>
    <t>4339009268</t>
  </si>
  <si>
    <t>ИП глава КФХ Казаков Игорь Николаевич</t>
  </si>
  <si>
    <t>433901050926</t>
  </si>
  <si>
    <t>ИП глава КФХ Вершинин Олег Васильевич</t>
  </si>
  <si>
    <t>433901465328</t>
  </si>
  <si>
    <t>ИП глава КФХ Шестаков Владимир Николаевич</t>
  </si>
  <si>
    <t>433902567114</t>
  </si>
  <si>
    <t>АО "Кировский мясокомбинат"</t>
  </si>
  <si>
    <t>4345000217</t>
  </si>
  <si>
    <t>ЗАО "Кировский молочный комбинат"</t>
  </si>
  <si>
    <t>4345000295</t>
  </si>
  <si>
    <t>ООО АПК Мечта</t>
  </si>
  <si>
    <t>4345315792</t>
  </si>
  <si>
    <t>АО "Агрофирма "Дороничи"</t>
  </si>
  <si>
    <t>4346000273</t>
  </si>
  <si>
    <t>ЗАО "Агрокомбинат племзавод "Красногорский"</t>
  </si>
  <si>
    <t>4347004464</t>
  </si>
  <si>
    <t xml:space="preserve"> ОАО СХП «Кировское»</t>
  </si>
  <si>
    <t>4347006292</t>
  </si>
  <si>
    <t>ЗАО «Заречье»</t>
  </si>
  <si>
    <t>4348000230</t>
  </si>
  <si>
    <t>по состоянию на 01.04.2019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</si>
</sst>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#,##0.00_ ;[Red]\-#,##0.00\ "/>
    <numFmt numFmtId="165" formatCode="#,##0.0000_ ;[Red]\-#,##0.0000\ "/>
    <numFmt numFmtId="166" formatCode="[$-419]mmmm\ yyyy;@"/>
    <numFmt numFmtId="167" formatCode="#,##0.000000000000000_ ;[Red]\-#,##0.000000000000000\ 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9"/>
      <color rgb="FF0000FF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sz val="8"/>
      <color rgb="FF0000FF"/>
      <name val="Arial"/>
      <family val="2"/>
    </font>
    <font>
      <sz val="8"/>
      <color indexed="8"/>
      <name val="Arial"/>
      <family val="2"/>
    </font>
    <font>
      <sz val="10"/>
      <color rgb="FF0000FF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166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164" fontId="3" fillId="0" borderId="0" xfId="0" applyNumberFormat="1" applyFont="1" applyFill="1" applyAlignment="1"/>
    <xf numFmtId="0" fontId="4" fillId="0" borderId="0" xfId="0" applyFont="1" applyFill="1"/>
    <xf numFmtId="164" fontId="3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3" fontId="4" fillId="0" borderId="3" xfId="0" applyNumberFormat="1" applyFont="1" applyFill="1" applyBorder="1" applyAlignment="1">
      <alignment wrapText="1"/>
    </xf>
    <xf numFmtId="164" fontId="7" fillId="0" borderId="3" xfId="0" applyNumberFormat="1" applyFont="1" applyFill="1" applyBorder="1" applyAlignment="1">
      <alignment wrapText="1"/>
    </xf>
    <xf numFmtId="164" fontId="4" fillId="0" borderId="3" xfId="0" applyNumberFormat="1" applyFont="1" applyFill="1" applyBorder="1" applyAlignment="1">
      <alignment wrapText="1"/>
    </xf>
    <xf numFmtId="164" fontId="4" fillId="0" borderId="3" xfId="0" applyNumberFormat="1" applyFont="1" applyFill="1" applyBorder="1" applyAlignment="1">
      <alignment horizontal="center" wrapText="1"/>
    </xf>
    <xf numFmtId="165" fontId="4" fillId="0" borderId="3" xfId="0" applyNumberFormat="1" applyFont="1" applyFill="1" applyBorder="1" applyAlignment="1">
      <alignment wrapText="1"/>
    </xf>
    <xf numFmtId="4" fontId="4" fillId="0" borderId="5" xfId="0" applyNumberFormat="1" applyFont="1" applyFill="1" applyBorder="1" applyAlignment="1">
      <alignment wrapText="1"/>
    </xf>
    <xf numFmtId="164" fontId="3" fillId="2" borderId="3" xfId="0" applyNumberFormat="1" applyFont="1" applyFill="1" applyBorder="1" applyAlignment="1"/>
    <xf numFmtId="164" fontId="4" fillId="2" borderId="5" xfId="1" applyNumberFormat="1" applyFont="1" applyFill="1" applyBorder="1"/>
    <xf numFmtId="0" fontId="3" fillId="0" borderId="3" xfId="0" applyFont="1" applyFill="1" applyBorder="1" applyAlignment="1"/>
    <xf numFmtId="0" fontId="3" fillId="3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wrapText="1"/>
    </xf>
    <xf numFmtId="49" fontId="3" fillId="3" borderId="3" xfId="0" applyNumberFormat="1" applyFont="1" applyFill="1" applyBorder="1" applyAlignment="1">
      <alignment horizontal="center" wrapText="1"/>
    </xf>
    <xf numFmtId="0" fontId="3" fillId="3" borderId="3" xfId="0" applyFont="1" applyFill="1" applyBorder="1" applyAlignment="1">
      <alignment wrapText="1"/>
    </xf>
    <xf numFmtId="166" fontId="3" fillId="3" borderId="3" xfId="0" applyNumberFormat="1" applyFont="1" applyFill="1" applyBorder="1" applyAlignment="1">
      <alignment horizontal="right" wrapText="1"/>
    </xf>
    <xf numFmtId="3" fontId="3" fillId="3" borderId="3" xfId="0" applyNumberFormat="1" applyFont="1" applyFill="1" applyBorder="1" applyAlignment="1">
      <alignment wrapText="1"/>
    </xf>
    <xf numFmtId="10" fontId="3" fillId="3" borderId="3" xfId="2" applyNumberFormat="1" applyFont="1" applyFill="1" applyBorder="1" applyAlignment="1"/>
    <xf numFmtId="0" fontId="3" fillId="3" borderId="3" xfId="0" applyFont="1" applyFill="1" applyBorder="1" applyAlignment="1"/>
    <xf numFmtId="164" fontId="3" fillId="3" borderId="3" xfId="0" applyNumberFormat="1" applyFont="1" applyFill="1" applyBorder="1" applyAlignment="1"/>
    <xf numFmtId="167" fontId="8" fillId="3" borderId="3" xfId="0" applyNumberFormat="1" applyFont="1" applyFill="1" applyBorder="1" applyAlignment="1"/>
    <xf numFmtId="164" fontId="4" fillId="3" borderId="3" xfId="0" applyNumberFormat="1" applyFont="1" applyFill="1" applyBorder="1"/>
    <xf numFmtId="164" fontId="4" fillId="3" borderId="3" xfId="1" applyNumberFormat="1" applyFont="1" applyFill="1" applyBorder="1"/>
    <xf numFmtId="164" fontId="4" fillId="3" borderId="5" xfId="1" applyNumberFormat="1" applyFont="1" applyFill="1" applyBorder="1"/>
    <xf numFmtId="4" fontId="3" fillId="3" borderId="3" xfId="0" applyNumberFormat="1" applyFont="1" applyFill="1" applyBorder="1"/>
    <xf numFmtId="0" fontId="3" fillId="3" borderId="0" xfId="0" applyFont="1" applyFill="1"/>
    <xf numFmtId="0" fontId="3" fillId="0" borderId="3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/>
    <xf numFmtId="164" fontId="4" fillId="0" borderId="3" xfId="0" applyNumberFormat="1" applyFont="1" applyFill="1" applyBorder="1" applyAlignment="1"/>
    <xf numFmtId="164" fontId="4" fillId="0" borderId="3" xfId="0" applyNumberFormat="1" applyFont="1" applyFill="1" applyBorder="1" applyAlignment="1">
      <alignment horizontal="center"/>
    </xf>
    <xf numFmtId="4" fontId="4" fillId="0" borderId="5" xfId="0" applyNumberFormat="1" applyFont="1" applyFill="1" applyBorder="1" applyAlignment="1"/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0" fontId="4" fillId="0" borderId="0" xfId="0" applyFont="1" applyFill="1" applyBorder="1"/>
    <xf numFmtId="164" fontId="3" fillId="0" borderId="0" xfId="0" applyNumberFormat="1" applyFont="1" applyFill="1" applyBorder="1"/>
    <xf numFmtId="0" fontId="3" fillId="4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wrapText="1"/>
    </xf>
    <xf numFmtId="49" fontId="3" fillId="4" borderId="3" xfId="0" applyNumberFormat="1" applyFont="1" applyFill="1" applyBorder="1" applyAlignment="1">
      <alignment horizontal="center" wrapText="1"/>
    </xf>
    <xf numFmtId="166" fontId="3" fillId="4" borderId="3" xfId="0" applyNumberFormat="1" applyFont="1" applyFill="1" applyBorder="1" applyAlignment="1">
      <alignment horizontal="right" wrapText="1"/>
    </xf>
    <xf numFmtId="3" fontId="3" fillId="4" borderId="3" xfId="0" applyNumberFormat="1" applyFont="1" applyFill="1" applyBorder="1" applyAlignment="1">
      <alignment wrapText="1"/>
    </xf>
    <xf numFmtId="10" fontId="3" fillId="4" borderId="3" xfId="2" applyNumberFormat="1" applyFont="1" applyFill="1" applyBorder="1" applyAlignment="1"/>
    <xf numFmtId="0" fontId="3" fillId="4" borderId="3" xfId="0" applyFont="1" applyFill="1" applyBorder="1" applyAlignment="1"/>
    <xf numFmtId="164" fontId="3" fillId="4" borderId="3" xfId="0" applyNumberFormat="1" applyFont="1" applyFill="1" applyBorder="1" applyAlignment="1"/>
    <xf numFmtId="167" fontId="8" fillId="4" borderId="3" xfId="0" applyNumberFormat="1" applyFont="1" applyFill="1" applyBorder="1" applyAlignment="1"/>
    <xf numFmtId="164" fontId="4" fillId="4" borderId="3" xfId="0" applyNumberFormat="1" applyFont="1" applyFill="1" applyBorder="1"/>
    <xf numFmtId="164" fontId="4" fillId="4" borderId="3" xfId="1" applyNumberFormat="1" applyFont="1" applyFill="1" applyBorder="1"/>
    <xf numFmtId="164" fontId="4" fillId="4" borderId="5" xfId="1" applyNumberFormat="1" applyFont="1" applyFill="1" applyBorder="1"/>
    <xf numFmtId="4" fontId="3" fillId="4" borderId="3" xfId="0" applyNumberFormat="1" applyFont="1" applyFill="1" applyBorder="1"/>
    <xf numFmtId="0" fontId="3" fillId="4" borderId="0" xfId="0" applyFont="1" applyFill="1"/>
    <xf numFmtId="0" fontId="9" fillId="4" borderId="3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wrapText="1"/>
    </xf>
    <xf numFmtId="49" fontId="9" fillId="4" borderId="3" xfId="0" applyNumberFormat="1" applyFont="1" applyFill="1" applyBorder="1" applyAlignment="1">
      <alignment horizontal="center" wrapText="1"/>
    </xf>
    <xf numFmtId="166" fontId="9" fillId="4" borderId="3" xfId="0" applyNumberFormat="1" applyFont="1" applyFill="1" applyBorder="1" applyAlignment="1">
      <alignment horizontal="right" wrapText="1"/>
    </xf>
    <xf numFmtId="3" fontId="9" fillId="4" borderId="3" xfId="0" applyNumberFormat="1" applyFont="1" applyFill="1" applyBorder="1" applyAlignment="1">
      <alignment wrapText="1"/>
    </xf>
    <xf numFmtId="10" fontId="9" fillId="4" borderId="3" xfId="2" applyNumberFormat="1" applyFont="1" applyFill="1" applyBorder="1" applyAlignment="1"/>
    <xf numFmtId="0" fontId="9" fillId="4" borderId="3" xfId="0" applyFont="1" applyFill="1" applyBorder="1" applyAlignment="1"/>
    <xf numFmtId="164" fontId="9" fillId="4" borderId="3" xfId="0" applyNumberFormat="1" applyFont="1" applyFill="1" applyBorder="1" applyAlignment="1"/>
    <xf numFmtId="167" fontId="10" fillId="4" borderId="3" xfId="0" applyNumberFormat="1" applyFont="1" applyFill="1" applyBorder="1" applyAlignment="1"/>
    <xf numFmtId="164" fontId="11" fillId="4" borderId="3" xfId="0" applyNumberFormat="1" applyFont="1" applyFill="1" applyBorder="1"/>
    <xf numFmtId="164" fontId="11" fillId="4" borderId="3" xfId="1" applyNumberFormat="1" applyFont="1" applyFill="1" applyBorder="1"/>
    <xf numFmtId="164" fontId="11" fillId="4" borderId="5" xfId="1" applyNumberFormat="1" applyFont="1" applyFill="1" applyBorder="1"/>
    <xf numFmtId="4" fontId="9" fillId="4" borderId="3" xfId="0" applyNumberFormat="1" applyFont="1" applyFill="1" applyBorder="1"/>
    <xf numFmtId="0" fontId="9" fillId="4" borderId="0" xfId="0" applyFont="1" applyFill="1"/>
    <xf numFmtId="0" fontId="4" fillId="4" borderId="3" xfId="0" applyFont="1" applyFill="1" applyBorder="1"/>
    <xf numFmtId="4" fontId="16" fillId="4" borderId="3" xfId="0" applyNumberFormat="1" applyFont="1" applyFill="1" applyBorder="1" applyAlignment="1">
      <alignment horizontal="right" wrapText="1"/>
    </xf>
    <xf numFmtId="164" fontId="16" fillId="4" borderId="3" xfId="0" applyNumberFormat="1" applyFont="1" applyFill="1" applyBorder="1" applyAlignment="1">
      <alignment horizontal="right" wrapText="1"/>
    </xf>
    <xf numFmtId="4" fontId="3" fillId="4" borderId="3" xfId="1" applyNumberFormat="1" applyFont="1" applyFill="1" applyBorder="1"/>
    <xf numFmtId="4" fontId="16" fillId="4" borderId="3" xfId="3" applyNumberFormat="1" applyFont="1" applyFill="1" applyBorder="1" applyAlignment="1">
      <alignment horizontal="right" wrapText="1"/>
    </xf>
    <xf numFmtId="164" fontId="16" fillId="4" borderId="3" xfId="3" applyNumberFormat="1" applyFont="1" applyFill="1" applyBorder="1" applyAlignment="1">
      <alignment horizontal="right" wrapText="1"/>
    </xf>
    <xf numFmtId="4" fontId="4" fillId="4" borderId="3" xfId="0" applyNumberFormat="1" applyFont="1" applyFill="1" applyBorder="1"/>
    <xf numFmtId="4" fontId="3" fillId="4" borderId="3" xfId="0" applyNumberFormat="1" applyFont="1" applyFill="1" applyBorder="1" applyAlignment="1"/>
    <xf numFmtId="0" fontId="20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wrapText="1"/>
    </xf>
    <xf numFmtId="49" fontId="9" fillId="5" borderId="3" xfId="0" applyNumberFormat="1" applyFont="1" applyFill="1" applyBorder="1" applyAlignment="1">
      <alignment horizontal="center" wrapText="1"/>
    </xf>
    <xf numFmtId="0" fontId="3" fillId="5" borderId="3" xfId="0" applyFont="1" applyFill="1" applyBorder="1" applyAlignment="1">
      <alignment wrapText="1"/>
    </xf>
    <xf numFmtId="166" fontId="9" fillId="5" borderId="3" xfId="0" applyNumberFormat="1" applyFont="1" applyFill="1" applyBorder="1" applyAlignment="1">
      <alignment horizontal="right" wrapText="1"/>
    </xf>
    <xf numFmtId="3" fontId="9" fillId="5" borderId="3" xfId="0" applyNumberFormat="1" applyFont="1" applyFill="1" applyBorder="1" applyAlignment="1">
      <alignment wrapText="1"/>
    </xf>
    <xf numFmtId="10" fontId="9" fillId="5" borderId="3" xfId="2" applyNumberFormat="1" applyFont="1" applyFill="1" applyBorder="1" applyAlignment="1"/>
    <xf numFmtId="0" fontId="9" fillId="5" borderId="3" xfId="0" applyFont="1" applyFill="1" applyBorder="1" applyAlignment="1"/>
    <xf numFmtId="164" fontId="9" fillId="5" borderId="3" xfId="0" applyNumberFormat="1" applyFont="1" applyFill="1" applyBorder="1" applyAlignment="1"/>
    <xf numFmtId="167" fontId="10" fillId="5" borderId="3" xfId="0" applyNumberFormat="1" applyFont="1" applyFill="1" applyBorder="1" applyAlignment="1"/>
    <xf numFmtId="164" fontId="3" fillId="5" borderId="3" xfId="0" applyNumberFormat="1" applyFont="1" applyFill="1" applyBorder="1" applyAlignment="1"/>
    <xf numFmtId="164" fontId="11" fillId="5" borderId="3" xfId="0" applyNumberFormat="1" applyFont="1" applyFill="1" applyBorder="1"/>
    <xf numFmtId="164" fontId="11" fillId="5" borderId="3" xfId="1" applyNumberFormat="1" applyFont="1" applyFill="1" applyBorder="1"/>
    <xf numFmtId="164" fontId="11" fillId="5" borderId="5" xfId="1" applyNumberFormat="1" applyFont="1" applyFill="1" applyBorder="1"/>
    <xf numFmtId="164" fontId="4" fillId="5" borderId="5" xfId="1" applyNumberFormat="1" applyFont="1" applyFill="1" applyBorder="1"/>
    <xf numFmtId="4" fontId="6" fillId="5" borderId="3" xfId="0" applyNumberFormat="1" applyFont="1" applyFill="1" applyBorder="1"/>
    <xf numFmtId="4" fontId="9" fillId="5" borderId="3" xfId="0" applyNumberFormat="1" applyFont="1" applyFill="1" applyBorder="1"/>
    <xf numFmtId="0" fontId="9" fillId="5" borderId="0" xfId="0" applyFont="1" applyFill="1"/>
    <xf numFmtId="0" fontId="6" fillId="5" borderId="3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wrapText="1"/>
    </xf>
    <xf numFmtId="49" fontId="6" fillId="5" borderId="3" xfId="0" applyNumberFormat="1" applyFont="1" applyFill="1" applyBorder="1" applyAlignment="1">
      <alignment horizontal="center" wrapText="1"/>
    </xf>
    <xf numFmtId="166" fontId="6" fillId="5" borderId="3" xfId="0" applyNumberFormat="1" applyFont="1" applyFill="1" applyBorder="1" applyAlignment="1">
      <alignment horizontal="right" wrapText="1"/>
    </xf>
    <xf numFmtId="3" fontId="6" fillId="5" borderId="3" xfId="0" applyNumberFormat="1" applyFont="1" applyFill="1" applyBorder="1" applyAlignment="1">
      <alignment wrapText="1"/>
    </xf>
    <xf numFmtId="10" fontId="6" fillId="5" borderId="3" xfId="2" applyNumberFormat="1" applyFont="1" applyFill="1" applyBorder="1" applyAlignment="1"/>
    <xf numFmtId="0" fontId="6" fillId="5" borderId="3" xfId="0" applyFont="1" applyFill="1" applyBorder="1" applyAlignment="1"/>
    <xf numFmtId="164" fontId="6" fillId="5" borderId="3" xfId="0" applyNumberFormat="1" applyFont="1" applyFill="1" applyBorder="1" applyAlignment="1"/>
    <xf numFmtId="167" fontId="12" fillId="5" borderId="3" xfId="0" applyNumberFormat="1" applyFont="1" applyFill="1" applyBorder="1" applyAlignment="1"/>
    <xf numFmtId="164" fontId="13" fillId="5" borderId="3" xfId="0" applyNumberFormat="1" applyFont="1" applyFill="1" applyBorder="1"/>
    <xf numFmtId="0" fontId="13" fillId="5" borderId="3" xfId="0" applyFont="1" applyFill="1" applyBorder="1"/>
    <xf numFmtId="164" fontId="13" fillId="5" borderId="3" xfId="1" applyNumberFormat="1" applyFont="1" applyFill="1" applyBorder="1"/>
    <xf numFmtId="164" fontId="13" fillId="5" borderId="5" xfId="1" applyNumberFormat="1" applyFont="1" applyFill="1" applyBorder="1"/>
    <xf numFmtId="0" fontId="6" fillId="5" borderId="0" xfId="0" applyFont="1" applyFill="1"/>
    <xf numFmtId="164" fontId="15" fillId="5" borderId="3" xfId="3" applyNumberFormat="1" applyFont="1" applyFill="1" applyBorder="1" applyAlignment="1">
      <alignment horizontal="right" wrapText="1"/>
    </xf>
    <xf numFmtId="4" fontId="15" fillId="5" borderId="3" xfId="3" applyNumberFormat="1" applyFont="1" applyFill="1" applyBorder="1" applyAlignment="1">
      <alignment horizontal="right" wrapText="1"/>
    </xf>
    <xf numFmtId="0" fontId="11" fillId="5" borderId="3" xfId="0" applyFont="1" applyFill="1" applyBorder="1"/>
    <xf numFmtId="0" fontId="3" fillId="5" borderId="3" xfId="0" applyFont="1" applyFill="1" applyBorder="1" applyAlignment="1">
      <alignment horizontal="center" wrapText="1"/>
    </xf>
    <xf numFmtId="49" fontId="3" fillId="5" borderId="3" xfId="0" applyNumberFormat="1" applyFont="1" applyFill="1" applyBorder="1" applyAlignment="1">
      <alignment horizontal="center" wrapText="1"/>
    </xf>
    <xf numFmtId="166" fontId="3" fillId="5" borderId="3" xfId="0" applyNumberFormat="1" applyFont="1" applyFill="1" applyBorder="1" applyAlignment="1">
      <alignment horizontal="right" wrapText="1"/>
    </xf>
    <xf numFmtId="3" fontId="3" fillId="5" borderId="3" xfId="0" applyNumberFormat="1" applyFont="1" applyFill="1" applyBorder="1" applyAlignment="1">
      <alignment wrapText="1"/>
    </xf>
    <xf numFmtId="10" fontId="3" fillId="5" borderId="3" xfId="2" applyNumberFormat="1" applyFont="1" applyFill="1" applyBorder="1" applyAlignment="1"/>
    <xf numFmtId="0" fontId="3" fillId="5" borderId="3" xfId="0" applyFont="1" applyFill="1" applyBorder="1" applyAlignment="1"/>
    <xf numFmtId="167" fontId="8" fillId="5" borderId="3" xfId="0" applyNumberFormat="1" applyFont="1" applyFill="1" applyBorder="1" applyAlignment="1"/>
    <xf numFmtId="164" fontId="4" fillId="5" borderId="3" xfId="0" applyNumberFormat="1" applyFont="1" applyFill="1" applyBorder="1"/>
    <xf numFmtId="164" fontId="4" fillId="5" borderId="3" xfId="1" applyNumberFormat="1" applyFont="1" applyFill="1" applyBorder="1"/>
    <xf numFmtId="4" fontId="3" fillId="5" borderId="3" xfId="0" applyNumberFormat="1" applyFont="1" applyFill="1" applyBorder="1"/>
    <xf numFmtId="0" fontId="3" fillId="5" borderId="0" xfId="0" applyFont="1" applyFill="1"/>
    <xf numFmtId="0" fontId="4" fillId="5" borderId="3" xfId="0" applyFont="1" applyFill="1" applyBorder="1"/>
    <xf numFmtId="4" fontId="11" fillId="5" borderId="3" xfId="0" applyNumberFormat="1" applyFont="1" applyFill="1" applyBorder="1"/>
    <xf numFmtId="4" fontId="15" fillId="5" borderId="3" xfId="0" applyNumberFormat="1" applyFont="1" applyFill="1" applyBorder="1" applyAlignment="1">
      <alignment horizontal="right" wrapText="1"/>
    </xf>
    <xf numFmtId="164" fontId="15" fillId="5" borderId="3" xfId="0" applyNumberFormat="1" applyFont="1" applyFill="1" applyBorder="1" applyAlignment="1">
      <alignment horizontal="right" wrapText="1"/>
    </xf>
    <xf numFmtId="0" fontId="17" fillId="5" borderId="3" xfId="3" applyFont="1" applyFill="1" applyBorder="1" applyAlignment="1">
      <alignment horizontal="left" wrapText="1"/>
    </xf>
    <xf numFmtId="49" fontId="15" fillId="5" borderId="3" xfId="3" applyNumberFormat="1" applyFont="1" applyFill="1" applyBorder="1" applyAlignment="1">
      <alignment horizontal="left" wrapText="1"/>
    </xf>
    <xf numFmtId="0" fontId="15" fillId="5" borderId="3" xfId="3" applyFont="1" applyFill="1" applyBorder="1" applyAlignment="1">
      <alignment horizontal="left" wrapText="1"/>
    </xf>
    <xf numFmtId="0" fontId="16" fillId="5" borderId="3" xfId="3" applyFont="1" applyFill="1" applyBorder="1" applyAlignment="1">
      <alignment horizontal="left" wrapText="1"/>
    </xf>
    <xf numFmtId="166" fontId="15" fillId="5" borderId="3" xfId="3" applyNumberFormat="1" applyFont="1" applyFill="1" applyBorder="1" applyAlignment="1">
      <alignment horizontal="left" wrapText="1"/>
    </xf>
    <xf numFmtId="4" fontId="9" fillId="5" borderId="3" xfId="0" applyNumberFormat="1" applyFont="1" applyFill="1" applyBorder="1" applyAlignment="1"/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Maslennikova\Desktop\&#1042;&#1067;&#1041;&#1054;&#1056;&#1050;&#1040;%20&#1082;&#1088;&#1077;&#1076;&#1080;&#1090;&#1086;&#1074;%20-%202019%20&#1075;&#1086;&#1076;%20(&#1048;&#1085;&#1092;%20&#1076;&#1083;&#1103;%20&#1048;.&#1042;.&#1043;.)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 май"/>
      <sheetName val="Прогноз май (2)"/>
      <sheetName val="1"/>
      <sheetName val="2"/>
      <sheetName val="Прогноз декабрь"/>
      <sheetName val="Прогноз для И.В.Головк"/>
      <sheetName val="Рабочая"/>
      <sheetName val="28.01.19"/>
      <sheetName val="Расход объема субсидий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СХТ</v>
          </cell>
        </row>
        <row r="2">
          <cell r="A2" t="str">
            <v>Организация АПК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64"/>
  <sheetViews>
    <sheetView tabSelected="1" topLeftCell="H247" workbookViewId="0">
      <selection activeCell="R254" sqref="R254"/>
    </sheetView>
  </sheetViews>
  <sheetFormatPr defaultRowHeight="12.75"/>
  <cols>
    <col min="1" max="1" width="5.140625" style="57" customWidth="1"/>
    <col min="2" max="2" width="21.140625" style="3" customWidth="1"/>
    <col min="3" max="3" width="11.28515625" style="58" bestFit="1" customWidth="1"/>
    <col min="4" max="4" width="14.140625" style="3" customWidth="1"/>
    <col min="5" max="5" width="5.5703125" style="3" hidden="1" customWidth="1"/>
    <col min="6" max="7" width="15" style="3" hidden="1" customWidth="1"/>
    <col min="8" max="8" width="12.42578125" style="3" customWidth="1"/>
    <col min="9" max="9" width="13.140625" style="3" customWidth="1"/>
    <col min="10" max="10" width="5.5703125" style="4" hidden="1" customWidth="1"/>
    <col min="11" max="11" width="3.5703125" style="5" hidden="1" customWidth="1"/>
    <col min="12" max="12" width="5.28515625" style="5" hidden="1" customWidth="1"/>
    <col min="13" max="13" width="2.7109375" style="5" hidden="1" customWidth="1"/>
    <col min="14" max="14" width="11.85546875" style="6" customWidth="1"/>
    <col min="15" max="15" width="16.5703125" style="6" hidden="1" customWidth="1"/>
    <col min="16" max="17" width="12.42578125" style="6" customWidth="1"/>
    <col min="18" max="18" width="15.42578125" style="6" customWidth="1"/>
    <col min="19" max="19" width="13.42578125" style="6" hidden="1" customWidth="1"/>
    <col min="20" max="21" width="12.7109375" style="3" hidden="1" customWidth="1"/>
    <col min="22" max="22" width="13.42578125" style="6" customWidth="1"/>
    <col min="23" max="23" width="16.85546875" style="6" customWidth="1"/>
    <col min="24" max="24" width="15.42578125" style="7" customWidth="1"/>
    <col min="25" max="27" width="13" style="7" hidden="1" customWidth="1"/>
    <col min="28" max="28" width="15.140625" style="7" customWidth="1"/>
    <col min="29" max="29" width="15.42578125" style="7" hidden="1" customWidth="1"/>
    <col min="30" max="30" width="16.5703125" style="8" hidden="1" customWidth="1"/>
    <col min="31" max="31" width="13.85546875" style="8" hidden="1" customWidth="1"/>
    <col min="32" max="32" width="14.85546875" style="8" hidden="1" customWidth="1"/>
    <col min="33" max="33" width="15.140625" style="8" hidden="1" customWidth="1"/>
    <col min="34" max="34" width="14.42578125" style="2" customWidth="1"/>
    <col min="35" max="35" width="12.5703125" style="2" hidden="1" customWidth="1"/>
    <col min="36" max="36" width="10.42578125" style="2" customWidth="1"/>
    <col min="37" max="16384" width="9.140625" style="2"/>
  </cols>
  <sheetData>
    <row r="1" spans="1:35" ht="20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"/>
      <c r="AF1" s="1"/>
      <c r="AG1" s="1"/>
    </row>
    <row r="2" spans="1:35" ht="15.75">
      <c r="A2" s="98" t="s">
        <v>357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60"/>
      <c r="AD2" s="61"/>
    </row>
    <row r="3" spans="1:35">
      <c r="A3" s="9"/>
      <c r="B3" s="9"/>
      <c r="C3" s="10"/>
      <c r="D3" s="9"/>
      <c r="E3" s="9"/>
      <c r="F3" s="9"/>
      <c r="G3" s="9"/>
      <c r="H3" s="9"/>
      <c r="I3" s="9"/>
      <c r="X3" s="107"/>
      <c r="Y3" s="107"/>
      <c r="Z3" s="107"/>
      <c r="AA3" s="107"/>
      <c r="AB3" s="107"/>
      <c r="AC3" s="107"/>
      <c r="AD3" s="107"/>
      <c r="AE3" s="11"/>
      <c r="AF3" s="11"/>
      <c r="AG3" s="11"/>
    </row>
    <row r="4" spans="1:35">
      <c r="A4" s="9"/>
      <c r="B4" s="9"/>
      <c r="C4" s="10"/>
      <c r="D4" s="9"/>
      <c r="E4" s="9"/>
      <c r="F4" s="9"/>
      <c r="G4" s="9"/>
      <c r="H4" s="9"/>
      <c r="I4" s="9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5">
      <c r="A5" s="9"/>
      <c r="B5" s="9"/>
      <c r="C5" s="10"/>
      <c r="D5" s="9"/>
      <c r="E5" s="9"/>
      <c r="F5" s="9"/>
      <c r="G5" s="9"/>
      <c r="H5" s="9"/>
      <c r="I5" s="9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5">
      <c r="A6" s="9"/>
      <c r="B6" s="9"/>
      <c r="C6" s="10"/>
      <c r="D6" s="9"/>
      <c r="E6" s="9"/>
      <c r="F6" s="9"/>
      <c r="G6" s="9"/>
      <c r="H6" s="9"/>
      <c r="I6" s="9"/>
      <c r="X6" s="12"/>
      <c r="Y6" s="12"/>
      <c r="Z6" s="12"/>
      <c r="AA6" s="12"/>
      <c r="AB6" s="12"/>
      <c r="AC6" s="12"/>
      <c r="AD6" s="12"/>
      <c r="AE6" s="11"/>
      <c r="AF6" s="11"/>
      <c r="AG6" s="11"/>
    </row>
    <row r="7" spans="1:35" s="18" customFormat="1" ht="229.5">
      <c r="A7" s="99" t="s">
        <v>1</v>
      </c>
      <c r="B7" s="99" t="s">
        <v>2</v>
      </c>
      <c r="C7" s="108" t="s">
        <v>3</v>
      </c>
      <c r="D7" s="99" t="s">
        <v>4</v>
      </c>
      <c r="E7" s="99" t="s">
        <v>5</v>
      </c>
      <c r="F7" s="99" t="s">
        <v>6</v>
      </c>
      <c r="G7" s="99" t="s">
        <v>7</v>
      </c>
      <c r="H7" s="99" t="s">
        <v>8</v>
      </c>
      <c r="I7" s="99" t="s">
        <v>9</v>
      </c>
      <c r="J7" s="13"/>
      <c r="K7" s="14"/>
      <c r="L7" s="14"/>
      <c r="M7" s="14"/>
      <c r="N7" s="104" t="s">
        <v>10</v>
      </c>
      <c r="O7" s="14" t="s">
        <v>11</v>
      </c>
      <c r="P7" s="104" t="s">
        <v>12</v>
      </c>
      <c r="Q7" s="104" t="s">
        <v>13</v>
      </c>
      <c r="R7" s="104" t="s">
        <v>14</v>
      </c>
      <c r="S7" s="13" t="s">
        <v>15</v>
      </c>
      <c r="T7" s="14" t="s">
        <v>16</v>
      </c>
      <c r="U7" s="15" t="s">
        <v>17</v>
      </c>
      <c r="V7" s="104" t="s">
        <v>18</v>
      </c>
      <c r="W7" s="104" t="s">
        <v>19</v>
      </c>
      <c r="X7" s="99" t="s">
        <v>20</v>
      </c>
      <c r="Y7" s="99" t="s">
        <v>21</v>
      </c>
      <c r="Z7" s="16" t="s">
        <v>22</v>
      </c>
      <c r="AA7" s="16" t="s">
        <v>23</v>
      </c>
      <c r="AB7" s="15" t="s">
        <v>24</v>
      </c>
      <c r="AC7" s="101" t="s">
        <v>25</v>
      </c>
      <c r="AD7" s="99" t="s">
        <v>26</v>
      </c>
      <c r="AE7" s="14" t="s">
        <v>27</v>
      </c>
      <c r="AF7" s="17" t="s">
        <v>28</v>
      </c>
      <c r="AG7" s="14" t="s">
        <v>29</v>
      </c>
      <c r="AH7" s="103" t="s">
        <v>30</v>
      </c>
      <c r="AI7" s="14" t="s">
        <v>31</v>
      </c>
    </row>
    <row r="8" spans="1:35" s="18" customFormat="1" ht="43.5" customHeight="1">
      <c r="A8" s="100"/>
      <c r="B8" s="100"/>
      <c r="C8" s="109"/>
      <c r="D8" s="100"/>
      <c r="E8" s="100"/>
      <c r="F8" s="100"/>
      <c r="G8" s="100"/>
      <c r="H8" s="100"/>
      <c r="I8" s="100"/>
      <c r="J8" s="13"/>
      <c r="K8" s="14"/>
      <c r="L8" s="14"/>
      <c r="M8" s="14"/>
      <c r="N8" s="105"/>
      <c r="O8" s="14"/>
      <c r="P8" s="105"/>
      <c r="Q8" s="105"/>
      <c r="R8" s="105"/>
      <c r="S8" s="13"/>
      <c r="T8" s="14"/>
      <c r="U8" s="19"/>
      <c r="V8" s="105"/>
      <c r="W8" s="105"/>
      <c r="X8" s="100"/>
      <c r="Y8" s="100"/>
      <c r="Z8" s="20"/>
      <c r="AA8" s="19"/>
      <c r="AB8" s="19"/>
      <c r="AC8" s="102"/>
      <c r="AD8" s="100"/>
      <c r="AE8" s="13"/>
      <c r="AF8" s="14"/>
      <c r="AG8" s="14"/>
      <c r="AH8" s="103"/>
      <c r="AI8" s="14"/>
    </row>
    <row r="9" spans="1:35" s="24" customFormat="1">
      <c r="A9" s="21">
        <v>1</v>
      </c>
      <c r="B9" s="21">
        <v>2</v>
      </c>
      <c r="C9" s="21" t="s">
        <v>32</v>
      </c>
      <c r="D9" s="21">
        <v>4</v>
      </c>
      <c r="E9" s="21"/>
      <c r="F9" s="21"/>
      <c r="G9" s="21"/>
      <c r="H9" s="21">
        <v>5</v>
      </c>
      <c r="I9" s="21">
        <v>6</v>
      </c>
      <c r="J9" s="22"/>
      <c r="K9" s="22"/>
      <c r="L9" s="22"/>
      <c r="M9" s="22"/>
      <c r="N9" s="22">
        <v>7</v>
      </c>
      <c r="O9" s="22" t="s">
        <v>33</v>
      </c>
      <c r="P9" s="22">
        <v>8</v>
      </c>
      <c r="Q9" s="22" t="s">
        <v>34</v>
      </c>
      <c r="R9" s="22" t="s">
        <v>35</v>
      </c>
      <c r="S9" s="22" t="s">
        <v>33</v>
      </c>
      <c r="T9" s="22">
        <v>11</v>
      </c>
      <c r="U9" s="22"/>
      <c r="V9" s="22">
        <v>11</v>
      </c>
      <c r="W9" s="22">
        <v>12</v>
      </c>
      <c r="X9" s="22">
        <v>13</v>
      </c>
      <c r="Y9" s="22" t="s">
        <v>36</v>
      </c>
      <c r="Z9" s="22">
        <v>14</v>
      </c>
      <c r="AA9" s="22">
        <v>15</v>
      </c>
      <c r="AB9" s="22">
        <v>14</v>
      </c>
      <c r="AC9" s="22" t="s">
        <v>36</v>
      </c>
      <c r="AD9" s="22" t="s">
        <v>36</v>
      </c>
      <c r="AE9" s="23">
        <v>17</v>
      </c>
      <c r="AF9" s="23"/>
      <c r="AG9" s="23"/>
      <c r="AH9" s="22">
        <v>15</v>
      </c>
      <c r="AI9" s="22">
        <v>19</v>
      </c>
    </row>
    <row r="10" spans="1:35" s="7" customFormat="1">
      <c r="A10" s="25"/>
      <c r="B10" s="25"/>
      <c r="C10" s="26"/>
      <c r="D10" s="25"/>
      <c r="E10" s="25"/>
      <c r="F10" s="25"/>
      <c r="G10" s="25"/>
      <c r="H10" s="27"/>
      <c r="I10" s="28">
        <f>SUM(I11:I262)</f>
        <v>3882200000</v>
      </c>
      <c r="J10" s="29"/>
      <c r="K10" s="29"/>
      <c r="L10" s="29"/>
      <c r="M10" s="29"/>
      <c r="N10" s="28">
        <f t="shared" ref="N10:AI10" si="0">SUM(N11:N262)</f>
        <v>158019206.25</v>
      </c>
      <c r="O10" s="29">
        <f t="shared" si="0"/>
        <v>2355160179.0304556</v>
      </c>
      <c r="P10" s="29">
        <v>95863310</v>
      </c>
      <c r="Q10" s="29">
        <f>SUM(Q11:Q262)</f>
        <v>62155896.24999994</v>
      </c>
      <c r="R10" s="30" t="s">
        <v>37</v>
      </c>
      <c r="S10" s="29">
        <f>SUM(S11:S262)</f>
        <v>643240000</v>
      </c>
      <c r="T10" s="29">
        <f>SUM(T11:T262)</f>
        <v>37351540</v>
      </c>
      <c r="U10" s="29"/>
      <c r="V10" s="28">
        <f t="shared" si="0"/>
        <v>1711920179.0304534</v>
      </c>
      <c r="W10" s="29">
        <f t="shared" si="0"/>
        <v>58511770.000000045</v>
      </c>
      <c r="X10" s="29">
        <f t="shared" si="0"/>
        <v>1711920179.0304534</v>
      </c>
      <c r="Y10" s="29">
        <f t="shared" si="0"/>
        <v>58511770.00000006</v>
      </c>
      <c r="Z10" s="29">
        <f t="shared" si="0"/>
        <v>34466565.230000004</v>
      </c>
      <c r="AA10" s="29">
        <f t="shared" si="0"/>
        <v>4112188.71</v>
      </c>
      <c r="AB10" s="31">
        <f t="shared" si="0"/>
        <v>13495624.849021913</v>
      </c>
      <c r="AC10" s="31">
        <f t="shared" si="0"/>
        <v>321216518.41163057</v>
      </c>
      <c r="AD10" s="31">
        <f t="shared" si="0"/>
        <v>258994228.69152683</v>
      </c>
      <c r="AE10" s="31">
        <f t="shared" si="0"/>
        <v>675218.13</v>
      </c>
      <c r="AF10" s="31">
        <f t="shared" si="0"/>
        <v>-3889576.1400000006</v>
      </c>
      <c r="AG10" s="29">
        <f t="shared" si="0"/>
        <v>9606048.7090219036</v>
      </c>
      <c r="AH10" s="29">
        <f t="shared" si="0"/>
        <v>290228491.37681496</v>
      </c>
      <c r="AI10" s="32">
        <f t="shared" si="0"/>
        <v>14520820</v>
      </c>
    </row>
    <row r="11" spans="1:35" s="75" customFormat="1" ht="25.5">
      <c r="A11" s="62">
        <v>1</v>
      </c>
      <c r="B11" s="63" t="s">
        <v>38</v>
      </c>
      <c r="C11" s="64" t="s">
        <v>39</v>
      </c>
      <c r="D11" s="63" t="s">
        <v>40</v>
      </c>
      <c r="E11" s="63" t="s">
        <v>41</v>
      </c>
      <c r="F11" s="63"/>
      <c r="G11" s="63"/>
      <c r="H11" s="65">
        <v>43497</v>
      </c>
      <c r="I11" s="66">
        <v>2000000</v>
      </c>
      <c r="J11" s="67">
        <v>7.7499999999999999E-2</v>
      </c>
      <c r="K11" s="68">
        <v>0.9</v>
      </c>
      <c r="L11" s="69">
        <v>10</v>
      </c>
      <c r="M11" s="68">
        <v>12</v>
      </c>
      <c r="N11" s="69">
        <f>I11*J11*K11*L11/M11</f>
        <v>116250</v>
      </c>
      <c r="O11" s="69">
        <f>I11*0.606656065898319</f>
        <v>1213312.131796638</v>
      </c>
      <c r="P11" s="69">
        <f>O11*J11*K11*L11/M11</f>
        <v>70523.767660679587</v>
      </c>
      <c r="Q11" s="69">
        <f>N11-P11</f>
        <v>45726.232339320413</v>
      </c>
      <c r="R11" s="70">
        <v>0.606656065898319</v>
      </c>
      <c r="S11" s="69"/>
      <c r="T11" s="68"/>
      <c r="U11" s="69"/>
      <c r="V11" s="69">
        <f t="shared" ref="V11:W49" si="1">O11-S11</f>
        <v>1213312.131796638</v>
      </c>
      <c r="W11" s="69">
        <f t="shared" si="1"/>
        <v>70523.767660679587</v>
      </c>
      <c r="X11" s="71">
        <f>SUM(V11)</f>
        <v>1213312.131796638</v>
      </c>
      <c r="Y11" s="71">
        <f>SUM(W11)</f>
        <v>70523.767660679587</v>
      </c>
      <c r="Z11" s="71"/>
      <c r="AA11" s="71"/>
      <c r="AB11" s="71">
        <f>Y11-Z11-AA11</f>
        <v>70523.767660679587</v>
      </c>
      <c r="AC11" s="72">
        <v>1213312.131796638</v>
      </c>
      <c r="AD11" s="72">
        <f>AB11/J11/K11/9*M11</f>
        <v>1348124.5908851533</v>
      </c>
      <c r="AE11" s="72"/>
      <c r="AF11" s="73"/>
      <c r="AG11" s="73">
        <f>AB11+AF11</f>
        <v>70523.767660679587</v>
      </c>
      <c r="AH11" s="74">
        <f>AB11/J11/K11/8*M11</f>
        <v>1516640.1647457974</v>
      </c>
      <c r="AI11" s="74"/>
    </row>
    <row r="12" spans="1:35" s="75" customFormat="1" ht="25.5">
      <c r="A12" s="62">
        <f>A11+1</f>
        <v>2</v>
      </c>
      <c r="B12" s="63" t="s">
        <v>42</v>
      </c>
      <c r="C12" s="64" t="s">
        <v>43</v>
      </c>
      <c r="D12" s="63" t="s">
        <v>40</v>
      </c>
      <c r="E12" s="63" t="s">
        <v>41</v>
      </c>
      <c r="F12" s="63"/>
      <c r="G12" s="63"/>
      <c r="H12" s="65">
        <v>43497</v>
      </c>
      <c r="I12" s="66">
        <v>2000000</v>
      </c>
      <c r="J12" s="67">
        <v>7.7499999999999999E-2</v>
      </c>
      <c r="K12" s="68">
        <v>0.9</v>
      </c>
      <c r="L12" s="69">
        <v>10</v>
      </c>
      <c r="M12" s="68">
        <v>12</v>
      </c>
      <c r="N12" s="69">
        <f t="shared" ref="N12:N76" si="2">I12*J12*K12*L12/M12</f>
        <v>116250</v>
      </c>
      <c r="O12" s="69">
        <f t="shared" ref="O12:O76" si="3">I12*0.606656065898319</f>
        <v>1213312.131796638</v>
      </c>
      <c r="P12" s="69">
        <f t="shared" ref="P12:P76" si="4">O12*J12*K12*L12/M12</f>
        <v>70523.767660679587</v>
      </c>
      <c r="Q12" s="69">
        <f t="shared" ref="Q12:Q76" si="5">N12-P12</f>
        <v>45726.232339320413</v>
      </c>
      <c r="R12" s="70">
        <v>0.606656065898319</v>
      </c>
      <c r="S12" s="69"/>
      <c r="T12" s="68"/>
      <c r="U12" s="69"/>
      <c r="V12" s="69">
        <f t="shared" si="1"/>
        <v>1213312.131796638</v>
      </c>
      <c r="W12" s="69">
        <f t="shared" si="1"/>
        <v>70523.767660679587</v>
      </c>
      <c r="X12" s="71">
        <f t="shared" ref="X12:Y75" si="6">SUM(V12)</f>
        <v>1213312.131796638</v>
      </c>
      <c r="Y12" s="71">
        <f t="shared" si="6"/>
        <v>70523.767660679587</v>
      </c>
      <c r="Z12" s="71"/>
      <c r="AA12" s="71"/>
      <c r="AB12" s="71">
        <f>Y12-Z12-AA12</f>
        <v>70523.767660679587</v>
      </c>
      <c r="AC12" s="72">
        <v>1577305.77133563</v>
      </c>
      <c r="AD12" s="72">
        <f>AB12/J12/K12/9*M12</f>
        <v>1348124.5908851533</v>
      </c>
      <c r="AE12" s="72"/>
      <c r="AF12" s="73"/>
      <c r="AG12" s="73">
        <f t="shared" ref="AG12:AG75" si="7">AB12+AF12</f>
        <v>70523.767660679587</v>
      </c>
      <c r="AH12" s="74">
        <f>AB12/J12/K12/8*M12</f>
        <v>1516640.1647457974</v>
      </c>
      <c r="AI12" s="74"/>
    </row>
    <row r="13" spans="1:35" s="75" customFormat="1" ht="25.5">
      <c r="A13" s="62">
        <f>A12+1</f>
        <v>3</v>
      </c>
      <c r="B13" s="63" t="s">
        <v>42</v>
      </c>
      <c r="C13" s="64" t="s">
        <v>44</v>
      </c>
      <c r="D13" s="63" t="s">
        <v>40</v>
      </c>
      <c r="E13" s="63" t="s">
        <v>41</v>
      </c>
      <c r="F13" s="63"/>
      <c r="G13" s="63"/>
      <c r="H13" s="65">
        <v>43709</v>
      </c>
      <c r="I13" s="66">
        <v>2000000</v>
      </c>
      <c r="J13" s="67">
        <v>7.7499999999999999E-2</v>
      </c>
      <c r="K13" s="68">
        <v>0.9</v>
      </c>
      <c r="L13" s="69">
        <v>3</v>
      </c>
      <c r="M13" s="68">
        <v>12</v>
      </c>
      <c r="N13" s="69">
        <f t="shared" si="2"/>
        <v>34875</v>
      </c>
      <c r="O13" s="69">
        <f t="shared" si="3"/>
        <v>1213312.131796638</v>
      </c>
      <c r="P13" s="69">
        <f t="shared" si="4"/>
        <v>21157.130298203876</v>
      </c>
      <c r="Q13" s="69">
        <f t="shared" si="5"/>
        <v>13717.869701796124</v>
      </c>
      <c r="R13" s="70">
        <v>0.606656065898319</v>
      </c>
      <c r="S13" s="69"/>
      <c r="T13" s="68"/>
      <c r="U13" s="69"/>
      <c r="V13" s="69">
        <f t="shared" si="1"/>
        <v>1213312.131796638</v>
      </c>
      <c r="W13" s="69">
        <f t="shared" si="1"/>
        <v>21157.130298203876</v>
      </c>
      <c r="X13" s="71">
        <f t="shared" si="6"/>
        <v>1213312.131796638</v>
      </c>
      <c r="Y13" s="71">
        <f t="shared" si="6"/>
        <v>21157.130298203876</v>
      </c>
      <c r="Z13" s="71"/>
      <c r="AA13" s="71"/>
      <c r="AB13" s="71">
        <f>Y13-Z13-AA13</f>
        <v>21157.130298203876</v>
      </c>
      <c r="AC13" s="72">
        <v>0</v>
      </c>
      <c r="AD13" s="72">
        <f>AB13/J13/K13/9*M13</f>
        <v>404437.37726554601</v>
      </c>
      <c r="AE13" s="72"/>
      <c r="AF13" s="73"/>
      <c r="AG13" s="73">
        <f t="shared" si="7"/>
        <v>21157.130298203876</v>
      </c>
      <c r="AH13" s="74">
        <f>AB13/J13/K13/8*M13</f>
        <v>454992.04942373926</v>
      </c>
      <c r="AI13" s="74"/>
    </row>
    <row r="14" spans="1:35" s="75" customFormat="1" ht="25.5">
      <c r="A14" s="62">
        <f t="shared" ref="A14:A77" si="8">A13+1</f>
        <v>4</v>
      </c>
      <c r="B14" s="63" t="s">
        <v>45</v>
      </c>
      <c r="C14" s="64" t="s">
        <v>46</v>
      </c>
      <c r="D14" s="63" t="s">
        <v>40</v>
      </c>
      <c r="E14" s="63" t="s">
        <v>41</v>
      </c>
      <c r="F14" s="63"/>
      <c r="G14" s="63"/>
      <c r="H14" s="65">
        <v>43556</v>
      </c>
      <c r="I14" s="66">
        <v>1500000</v>
      </c>
      <c r="J14" s="67">
        <v>7.7499999999999999E-2</v>
      </c>
      <c r="K14" s="68">
        <v>0.9</v>
      </c>
      <c r="L14" s="69">
        <v>8</v>
      </c>
      <c r="M14" s="68">
        <v>12</v>
      </c>
      <c r="N14" s="69">
        <f t="shared" si="2"/>
        <v>69750</v>
      </c>
      <c r="O14" s="69">
        <f t="shared" si="3"/>
        <v>909984.09884747851</v>
      </c>
      <c r="P14" s="69">
        <f t="shared" si="4"/>
        <v>42314.260596407752</v>
      </c>
      <c r="Q14" s="69">
        <f t="shared" si="5"/>
        <v>27435.739403592248</v>
      </c>
      <c r="R14" s="70">
        <v>0.606656065898319</v>
      </c>
      <c r="S14" s="69"/>
      <c r="T14" s="68"/>
      <c r="U14" s="69"/>
      <c r="V14" s="69">
        <f t="shared" si="1"/>
        <v>909984.09884747851</v>
      </c>
      <c r="W14" s="69">
        <f t="shared" si="1"/>
        <v>42314.260596407752</v>
      </c>
      <c r="X14" s="71">
        <f t="shared" si="6"/>
        <v>909984.09884747851</v>
      </c>
      <c r="Y14" s="71">
        <f t="shared" si="6"/>
        <v>42314.260596407752</v>
      </c>
      <c r="Z14" s="71"/>
      <c r="AA14" s="71"/>
      <c r="AB14" s="71">
        <f>Y14-Z14-AA14</f>
        <v>42314.260596407752</v>
      </c>
      <c r="AC14" s="72">
        <v>727987.27907798276</v>
      </c>
      <c r="AD14" s="72">
        <f>AB14/J14/K14/9*M14</f>
        <v>808874.75453109201</v>
      </c>
      <c r="AE14" s="72"/>
      <c r="AF14" s="73"/>
      <c r="AG14" s="73">
        <f t="shared" si="7"/>
        <v>42314.260596407752</v>
      </c>
      <c r="AH14" s="74">
        <f>AB14/J14/K14/8*M14</f>
        <v>909984.09884747851</v>
      </c>
      <c r="AI14" s="74"/>
    </row>
    <row r="15" spans="1:35" s="127" customFormat="1" ht="25.5">
      <c r="A15" s="110">
        <f t="shared" si="8"/>
        <v>5</v>
      </c>
      <c r="B15" s="111" t="s">
        <v>47</v>
      </c>
      <c r="C15" s="112" t="s">
        <v>48</v>
      </c>
      <c r="D15" s="111" t="s">
        <v>40</v>
      </c>
      <c r="E15" s="113" t="s">
        <v>41</v>
      </c>
      <c r="F15" s="111"/>
      <c r="G15" s="111"/>
      <c r="H15" s="114">
        <v>43525</v>
      </c>
      <c r="I15" s="115">
        <v>3000000</v>
      </c>
      <c r="J15" s="116">
        <v>7.7499999999999999E-2</v>
      </c>
      <c r="K15" s="117">
        <v>0.9</v>
      </c>
      <c r="L15" s="118">
        <v>9</v>
      </c>
      <c r="M15" s="117">
        <v>12</v>
      </c>
      <c r="N15" s="118">
        <f t="shared" si="2"/>
        <v>156937.5</v>
      </c>
      <c r="O15" s="118">
        <f t="shared" si="3"/>
        <v>1819968.197694957</v>
      </c>
      <c r="P15" s="118">
        <f t="shared" si="4"/>
        <v>95207.086341917442</v>
      </c>
      <c r="Q15" s="118">
        <f t="shared" si="5"/>
        <v>61730.413658082558</v>
      </c>
      <c r="R15" s="119">
        <v>0.606656065898319</v>
      </c>
      <c r="S15" s="118"/>
      <c r="T15" s="117"/>
      <c r="U15" s="120"/>
      <c r="V15" s="118">
        <f t="shared" si="1"/>
        <v>1819968.197694957</v>
      </c>
      <c r="W15" s="118">
        <f t="shared" si="1"/>
        <v>95207.086341917442</v>
      </c>
      <c r="X15" s="121">
        <f t="shared" si="6"/>
        <v>1819968.197694957</v>
      </c>
      <c r="Y15" s="121">
        <f t="shared" si="6"/>
        <v>95207.086341917442</v>
      </c>
      <c r="Z15" s="121">
        <f>174375-31735.7-47432.21</f>
        <v>95207.09</v>
      </c>
      <c r="AA15" s="121"/>
      <c r="AB15" s="121">
        <f>Y15-Z15-AA15</f>
        <v>-3.6580825544660911E-3</v>
      </c>
      <c r="AC15" s="122">
        <v>1367923.674467897</v>
      </c>
      <c r="AD15" s="122">
        <f>AB15/J15/K15/9*M15</f>
        <v>-6.9927504028025639E-2</v>
      </c>
      <c r="AE15" s="122"/>
      <c r="AF15" s="123"/>
      <c r="AG15" s="124">
        <f t="shared" si="7"/>
        <v>-3.6580825544660911E-3</v>
      </c>
      <c r="AH15" s="125">
        <f>AB15/J15/K15/8*M15</f>
        <v>-7.866844203152884E-2</v>
      </c>
      <c r="AI15" s="126"/>
    </row>
    <row r="16" spans="1:35" s="75" customFormat="1" ht="25.5">
      <c r="A16" s="62">
        <f t="shared" si="8"/>
        <v>6</v>
      </c>
      <c r="B16" s="63" t="s">
        <v>47</v>
      </c>
      <c r="C16" s="64" t="s">
        <v>48</v>
      </c>
      <c r="D16" s="62" t="s">
        <v>49</v>
      </c>
      <c r="E16" s="63" t="s">
        <v>41</v>
      </c>
      <c r="F16" s="62"/>
      <c r="G16" s="62"/>
      <c r="H16" s="65">
        <v>43525</v>
      </c>
      <c r="I16" s="66">
        <v>2000000</v>
      </c>
      <c r="J16" s="67">
        <v>7.7499999999999999E-2</v>
      </c>
      <c r="K16" s="68">
        <v>0.9</v>
      </c>
      <c r="L16" s="69">
        <v>9</v>
      </c>
      <c r="M16" s="68">
        <v>12</v>
      </c>
      <c r="N16" s="69">
        <f t="shared" si="2"/>
        <v>104625</v>
      </c>
      <c r="O16" s="69">
        <f t="shared" si="3"/>
        <v>1213312.131796638</v>
      </c>
      <c r="P16" s="69">
        <f t="shared" si="4"/>
        <v>63471.390894611628</v>
      </c>
      <c r="Q16" s="69">
        <f t="shared" si="5"/>
        <v>41153.609105388372</v>
      </c>
      <c r="R16" s="70">
        <v>0.606656065898319</v>
      </c>
      <c r="S16" s="69"/>
      <c r="T16" s="68"/>
      <c r="U16" s="69"/>
      <c r="V16" s="69">
        <f t="shared" si="1"/>
        <v>1213312.131796638</v>
      </c>
      <c r="W16" s="69">
        <f t="shared" si="1"/>
        <v>63471.390894611628</v>
      </c>
      <c r="X16" s="71">
        <f t="shared" si="6"/>
        <v>1213312.131796638</v>
      </c>
      <c r="Y16" s="71">
        <f t="shared" si="6"/>
        <v>63471.390894611628</v>
      </c>
      <c r="Z16" s="90"/>
      <c r="AA16" s="90"/>
      <c r="AB16" s="71">
        <f>Y16-Z16-AA16</f>
        <v>63471.390894611628</v>
      </c>
      <c r="AC16" s="72">
        <v>0</v>
      </c>
      <c r="AD16" s="72">
        <f>AB16/J16/K16/9*M16</f>
        <v>1213312.131796638</v>
      </c>
      <c r="AE16" s="72"/>
      <c r="AF16" s="73"/>
      <c r="AG16" s="73">
        <f t="shared" si="7"/>
        <v>63471.390894611628</v>
      </c>
      <c r="AH16" s="74">
        <f>AB16/J16/K16/8*M16</f>
        <v>1364976.1482712177</v>
      </c>
      <c r="AI16" s="74"/>
    </row>
    <row r="17" spans="1:35" s="141" customFormat="1" ht="25.5">
      <c r="A17" s="128">
        <f t="shared" si="8"/>
        <v>7</v>
      </c>
      <c r="B17" s="129" t="s">
        <v>47</v>
      </c>
      <c r="C17" s="130" t="s">
        <v>48</v>
      </c>
      <c r="D17" s="129" t="s">
        <v>40</v>
      </c>
      <c r="E17" s="129" t="s">
        <v>41</v>
      </c>
      <c r="F17" s="129"/>
      <c r="G17" s="129"/>
      <c r="H17" s="131">
        <v>43525</v>
      </c>
      <c r="I17" s="132">
        <v>1000000</v>
      </c>
      <c r="J17" s="133">
        <v>7.7499999999999999E-2</v>
      </c>
      <c r="K17" s="134">
        <v>0.9</v>
      </c>
      <c r="L17" s="135">
        <v>9</v>
      </c>
      <c r="M17" s="134">
        <v>12</v>
      </c>
      <c r="N17" s="135">
        <f t="shared" si="2"/>
        <v>52312.5</v>
      </c>
      <c r="O17" s="135">
        <f t="shared" si="3"/>
        <v>606656.06589831901</v>
      </c>
      <c r="P17" s="135">
        <f>O17*J17*K17*L17/M17</f>
        <v>31735.695447305814</v>
      </c>
      <c r="Q17" s="135">
        <f t="shared" si="5"/>
        <v>20576.804552694186</v>
      </c>
      <c r="R17" s="136">
        <v>0.606656065898319</v>
      </c>
      <c r="S17" s="135"/>
      <c r="T17" s="134"/>
      <c r="U17" s="135"/>
      <c r="V17" s="135">
        <f t="shared" si="1"/>
        <v>606656.06589831901</v>
      </c>
      <c r="W17" s="135">
        <f t="shared" si="1"/>
        <v>31735.695447305814</v>
      </c>
      <c r="X17" s="137">
        <f t="shared" si="6"/>
        <v>606656.06589831901</v>
      </c>
      <c r="Y17" s="137">
        <f>SUM(W17)</f>
        <v>31735.695447305814</v>
      </c>
      <c r="Z17" s="138">
        <v>31735.7</v>
      </c>
      <c r="AA17" s="138"/>
      <c r="AB17" s="137">
        <f>Y17-Z17-AA17</f>
        <v>-4.5526941867137793E-3</v>
      </c>
      <c r="AC17" s="139">
        <v>0</v>
      </c>
      <c r="AD17" s="139">
        <f>AB17/J17/K17/9*M17</f>
        <v>-8.702880165761108E-2</v>
      </c>
      <c r="AE17" s="139"/>
      <c r="AF17" s="140"/>
      <c r="AG17" s="140">
        <f t="shared" si="7"/>
        <v>-4.5526941867137793E-3</v>
      </c>
      <c r="AH17" s="125">
        <f>AB17/J17/K17/8*M17</f>
        <v>-9.7907401864812477E-2</v>
      </c>
      <c r="AI17" s="125"/>
    </row>
    <row r="18" spans="1:35" s="75" customFormat="1" ht="25.5">
      <c r="A18" s="62">
        <f t="shared" si="8"/>
        <v>8</v>
      </c>
      <c r="B18" s="63" t="s">
        <v>47</v>
      </c>
      <c r="C18" s="64" t="s">
        <v>48</v>
      </c>
      <c r="D18" s="63" t="s">
        <v>40</v>
      </c>
      <c r="E18" s="63" t="s">
        <v>41</v>
      </c>
      <c r="F18" s="63"/>
      <c r="G18" s="63"/>
      <c r="H18" s="65">
        <v>43617</v>
      </c>
      <c r="I18" s="66">
        <v>3000000</v>
      </c>
      <c r="J18" s="67">
        <v>7.7499999999999999E-2</v>
      </c>
      <c r="K18" s="68">
        <v>0.9</v>
      </c>
      <c r="L18" s="69">
        <v>6</v>
      </c>
      <c r="M18" s="68">
        <v>12</v>
      </c>
      <c r="N18" s="69">
        <f t="shared" si="2"/>
        <v>104625</v>
      </c>
      <c r="O18" s="69">
        <f t="shared" si="3"/>
        <v>1819968.197694957</v>
      </c>
      <c r="P18" s="69">
        <f t="shared" si="4"/>
        <v>63471.390894611628</v>
      </c>
      <c r="Q18" s="69">
        <f t="shared" si="5"/>
        <v>41153.609105388372</v>
      </c>
      <c r="R18" s="70">
        <v>0.606656065898319</v>
      </c>
      <c r="S18" s="69"/>
      <c r="T18" s="68"/>
      <c r="U18" s="69"/>
      <c r="V18" s="69">
        <f t="shared" si="1"/>
        <v>1819968.197694957</v>
      </c>
      <c r="W18" s="69">
        <f t="shared" si="1"/>
        <v>63471.390894611628</v>
      </c>
      <c r="X18" s="71">
        <f t="shared" si="6"/>
        <v>1819968.197694957</v>
      </c>
      <c r="Y18" s="71">
        <f t="shared" si="6"/>
        <v>63471.390894611628</v>
      </c>
      <c r="Z18" s="90">
        <v>47432.21</v>
      </c>
      <c r="AA18" s="90"/>
      <c r="AB18" s="71">
        <f>Y18-Z18-AA18</f>
        <v>16039.180894611629</v>
      </c>
      <c r="AC18" s="72">
        <v>0</v>
      </c>
      <c r="AD18" s="72">
        <f>AB18/J18/K18/9*M18</f>
        <v>306603.21901288658</v>
      </c>
      <c r="AE18" s="72"/>
      <c r="AF18" s="73"/>
      <c r="AG18" s="73">
        <f t="shared" si="7"/>
        <v>16039.180894611629</v>
      </c>
      <c r="AH18" s="74">
        <f>AB18/J18/K18/8*M18</f>
        <v>344928.62138949742</v>
      </c>
      <c r="AI18" s="74"/>
    </row>
    <row r="19" spans="1:35" s="127" customFormat="1" ht="25.5">
      <c r="A19" s="110">
        <f t="shared" si="8"/>
        <v>9</v>
      </c>
      <c r="B19" s="111" t="s">
        <v>50</v>
      </c>
      <c r="C19" s="112" t="s">
        <v>51</v>
      </c>
      <c r="D19" s="111" t="s">
        <v>40</v>
      </c>
      <c r="E19" s="113" t="s">
        <v>41</v>
      </c>
      <c r="F19" s="111"/>
      <c r="G19" s="111"/>
      <c r="H19" s="114">
        <v>43497</v>
      </c>
      <c r="I19" s="115">
        <v>5000000</v>
      </c>
      <c r="J19" s="116">
        <v>7.7499999999999999E-2</v>
      </c>
      <c r="K19" s="117">
        <v>0.9</v>
      </c>
      <c r="L19" s="118">
        <v>10</v>
      </c>
      <c r="M19" s="117">
        <v>12</v>
      </c>
      <c r="N19" s="118">
        <f t="shared" si="2"/>
        <v>290625</v>
      </c>
      <c r="O19" s="118">
        <f t="shared" si="3"/>
        <v>3033280.3294915948</v>
      </c>
      <c r="P19" s="118">
        <f t="shared" si="4"/>
        <v>176309.41915169894</v>
      </c>
      <c r="Q19" s="118">
        <f t="shared" si="5"/>
        <v>114315.58084830106</v>
      </c>
      <c r="R19" s="119">
        <v>0.606656065898319</v>
      </c>
      <c r="S19" s="118">
        <v>6000000</v>
      </c>
      <c r="T19" s="142">
        <v>348750</v>
      </c>
      <c r="U19" s="120">
        <f>P19</f>
        <v>176309.41915169894</v>
      </c>
      <c r="V19" s="118">
        <f t="shared" si="1"/>
        <v>-2966719.6705084052</v>
      </c>
      <c r="W19" s="118">
        <f t="shared" si="1"/>
        <v>-172440.58084830106</v>
      </c>
      <c r="X19" s="121">
        <f t="shared" si="6"/>
        <v>-2966719.6705084052</v>
      </c>
      <c r="Y19" s="121">
        <f t="shared" si="6"/>
        <v>-172440.58084830106</v>
      </c>
      <c r="Z19" s="121"/>
      <c r="AA19" s="121"/>
      <c r="AB19" s="121">
        <f>Y19-Z19-AA19</f>
        <v>-172440.58084830106</v>
      </c>
      <c r="AC19" s="122">
        <v>-2966719.6705084052</v>
      </c>
      <c r="AD19" s="122">
        <f>AB19/J19/K19/9*M19</f>
        <v>-3296355.1894537839</v>
      </c>
      <c r="AE19" s="122"/>
      <c r="AF19" s="123"/>
      <c r="AG19" s="124">
        <f t="shared" si="7"/>
        <v>-172440.58084830106</v>
      </c>
      <c r="AH19" s="125">
        <f>AB19/J19/K19/8*M19</f>
        <v>-3708399.588135507</v>
      </c>
      <c r="AI19" s="126"/>
    </row>
    <row r="20" spans="1:35" s="75" customFormat="1" ht="25.5">
      <c r="A20" s="62">
        <f t="shared" si="8"/>
        <v>10</v>
      </c>
      <c r="B20" s="63" t="s">
        <v>52</v>
      </c>
      <c r="C20" s="64" t="s">
        <v>53</v>
      </c>
      <c r="D20" s="63" t="s">
        <v>40</v>
      </c>
      <c r="E20" s="63" t="s">
        <v>41</v>
      </c>
      <c r="F20" s="63"/>
      <c r="G20" s="63"/>
      <c r="H20" s="65">
        <v>43497</v>
      </c>
      <c r="I20" s="66">
        <v>5000000</v>
      </c>
      <c r="J20" s="67">
        <v>7.7499999999999999E-2</v>
      </c>
      <c r="K20" s="68">
        <v>0.9</v>
      </c>
      <c r="L20" s="69">
        <v>10</v>
      </c>
      <c r="M20" s="68">
        <v>12</v>
      </c>
      <c r="N20" s="69">
        <f t="shared" si="2"/>
        <v>290625</v>
      </c>
      <c r="O20" s="69">
        <f t="shared" si="3"/>
        <v>3033280.3294915948</v>
      </c>
      <c r="P20" s="69">
        <f t="shared" si="4"/>
        <v>176309.41915169894</v>
      </c>
      <c r="Q20" s="69">
        <f t="shared" si="5"/>
        <v>114315.58084830106</v>
      </c>
      <c r="R20" s="70">
        <v>0.606656065898319</v>
      </c>
      <c r="S20" s="91">
        <v>3000000</v>
      </c>
      <c r="T20" s="92">
        <v>137590</v>
      </c>
      <c r="U20" s="69">
        <f>P20</f>
        <v>176309.41915169894</v>
      </c>
      <c r="V20" s="69">
        <f t="shared" si="1"/>
        <v>33280.329491594806</v>
      </c>
      <c r="W20" s="69">
        <f t="shared" si="1"/>
        <v>38719.419151698938</v>
      </c>
      <c r="X20" s="71">
        <f t="shared" si="6"/>
        <v>33280.329491594806</v>
      </c>
      <c r="Y20" s="71">
        <f t="shared" si="6"/>
        <v>38719.419151698938</v>
      </c>
      <c r="Z20" s="71"/>
      <c r="AA20" s="71"/>
      <c r="AB20" s="71">
        <f>Y20-Z20-AA20</f>
        <v>38719.419151698938</v>
      </c>
      <c r="AC20" s="72">
        <v>666140.54454535805</v>
      </c>
      <c r="AD20" s="72">
        <f>AB20/J20/K20/9*M20</f>
        <v>740156.16060595331</v>
      </c>
      <c r="AE20" s="72"/>
      <c r="AF20" s="73"/>
      <c r="AG20" s="73">
        <f t="shared" si="7"/>
        <v>38719.419151698938</v>
      </c>
      <c r="AH20" s="74">
        <f>AB20/J20/K20/8*M20</f>
        <v>832675.68068169756</v>
      </c>
      <c r="AI20" s="74"/>
    </row>
    <row r="21" spans="1:35" s="75" customFormat="1" ht="25.5">
      <c r="A21" s="62">
        <f t="shared" si="8"/>
        <v>11</v>
      </c>
      <c r="B21" s="63" t="s">
        <v>54</v>
      </c>
      <c r="C21" s="64" t="s">
        <v>55</v>
      </c>
      <c r="D21" s="63" t="s">
        <v>40</v>
      </c>
      <c r="E21" s="63" t="s">
        <v>41</v>
      </c>
      <c r="F21" s="63"/>
      <c r="G21" s="63"/>
      <c r="H21" s="65">
        <v>43586</v>
      </c>
      <c r="I21" s="66">
        <v>1500000</v>
      </c>
      <c r="J21" s="67">
        <v>7.7499999999999999E-2</v>
      </c>
      <c r="K21" s="68">
        <v>0.9</v>
      </c>
      <c r="L21" s="69">
        <v>7</v>
      </c>
      <c r="M21" s="68">
        <v>12</v>
      </c>
      <c r="N21" s="69">
        <f t="shared" si="2"/>
        <v>61031.25</v>
      </c>
      <c r="O21" s="69">
        <f t="shared" si="3"/>
        <v>909984.09884747851</v>
      </c>
      <c r="P21" s="69">
        <f t="shared" si="4"/>
        <v>37024.978021856783</v>
      </c>
      <c r="Q21" s="69">
        <f t="shared" si="5"/>
        <v>24006.271978143217</v>
      </c>
      <c r="R21" s="70">
        <v>0.606656065898319</v>
      </c>
      <c r="S21" s="69"/>
      <c r="T21" s="68"/>
      <c r="U21" s="69"/>
      <c r="V21" s="69">
        <f t="shared" si="1"/>
        <v>909984.09884747851</v>
      </c>
      <c r="W21" s="69">
        <f t="shared" si="1"/>
        <v>37024.978021856783</v>
      </c>
      <c r="X21" s="71">
        <f t="shared" si="6"/>
        <v>909984.09884747851</v>
      </c>
      <c r="Y21" s="71">
        <f t="shared" si="6"/>
        <v>37024.978021856783</v>
      </c>
      <c r="Z21" s="71"/>
      <c r="AA21" s="71"/>
      <c r="AB21" s="71">
        <f>Y21-Z21-AA21</f>
        <v>37024.978021856783</v>
      </c>
      <c r="AC21" s="72">
        <v>636988.86919323495</v>
      </c>
      <c r="AD21" s="72">
        <f>AB21/J21/K21/9*M21</f>
        <v>707765.41021470551</v>
      </c>
      <c r="AE21" s="72"/>
      <c r="AF21" s="73"/>
      <c r="AG21" s="73">
        <f t="shared" si="7"/>
        <v>37024.978021856783</v>
      </c>
      <c r="AH21" s="74">
        <f>AB21/J21/K21/8*M21</f>
        <v>796236.0864915438</v>
      </c>
      <c r="AI21" s="74"/>
    </row>
    <row r="22" spans="1:35" s="75" customFormat="1" ht="25.5">
      <c r="A22" s="62">
        <f t="shared" si="8"/>
        <v>12</v>
      </c>
      <c r="B22" s="63" t="s">
        <v>56</v>
      </c>
      <c r="C22" s="64" t="s">
        <v>57</v>
      </c>
      <c r="D22" s="63" t="s">
        <v>40</v>
      </c>
      <c r="E22" s="63" t="s">
        <v>41</v>
      </c>
      <c r="F22" s="63"/>
      <c r="G22" s="63"/>
      <c r="H22" s="65">
        <v>43556</v>
      </c>
      <c r="I22" s="66">
        <v>10000000</v>
      </c>
      <c r="J22" s="67">
        <v>7.7499999999999999E-2</v>
      </c>
      <c r="K22" s="68">
        <v>0.9</v>
      </c>
      <c r="L22" s="69">
        <v>8</v>
      </c>
      <c r="M22" s="68">
        <v>12</v>
      </c>
      <c r="N22" s="69">
        <f t="shared" si="2"/>
        <v>465000</v>
      </c>
      <c r="O22" s="69">
        <f t="shared" si="3"/>
        <v>6066560.6589831896</v>
      </c>
      <c r="P22" s="69">
        <f t="shared" si="4"/>
        <v>282095.07064271829</v>
      </c>
      <c r="Q22" s="69">
        <f t="shared" si="5"/>
        <v>182904.92935728171</v>
      </c>
      <c r="R22" s="70">
        <v>0.606656065898319</v>
      </c>
      <c r="S22" s="69"/>
      <c r="T22" s="68"/>
      <c r="U22" s="69"/>
      <c r="V22" s="69">
        <f t="shared" si="1"/>
        <v>6066560.6589831896</v>
      </c>
      <c r="W22" s="69">
        <f t="shared" si="1"/>
        <v>282095.07064271829</v>
      </c>
      <c r="X22" s="71">
        <f t="shared" si="6"/>
        <v>6066560.6589831896</v>
      </c>
      <c r="Y22" s="71">
        <f t="shared" si="6"/>
        <v>282095.07064271829</v>
      </c>
      <c r="Z22" s="71"/>
      <c r="AA22" s="71"/>
      <c r="AB22" s="71">
        <f>Y22-Z22-AA22</f>
        <v>282095.07064271829</v>
      </c>
      <c r="AC22" s="72">
        <v>4853248.5271865511</v>
      </c>
      <c r="AD22" s="72">
        <f>AB22/J22/K22/9*M22</f>
        <v>5392498.3635406131</v>
      </c>
      <c r="AE22" s="72"/>
      <c r="AF22" s="73"/>
      <c r="AG22" s="73">
        <f t="shared" si="7"/>
        <v>282095.07064271829</v>
      </c>
      <c r="AH22" s="74">
        <f>AB22/J22/K22/8*M22</f>
        <v>6066560.6589831896</v>
      </c>
      <c r="AI22" s="74"/>
    </row>
    <row r="23" spans="1:35" s="75" customFormat="1" ht="25.5">
      <c r="A23" s="62">
        <f t="shared" si="8"/>
        <v>13</v>
      </c>
      <c r="B23" s="63" t="s">
        <v>58</v>
      </c>
      <c r="C23" s="64" t="s">
        <v>59</v>
      </c>
      <c r="D23" s="63" t="s">
        <v>40</v>
      </c>
      <c r="E23" s="63" t="s">
        <v>41</v>
      </c>
      <c r="F23" s="63"/>
      <c r="G23" s="63"/>
      <c r="H23" s="65">
        <v>43678</v>
      </c>
      <c r="I23" s="66">
        <v>2000000</v>
      </c>
      <c r="J23" s="67">
        <v>7.7499999999999999E-2</v>
      </c>
      <c r="K23" s="68">
        <v>0.9</v>
      </c>
      <c r="L23" s="69">
        <v>4</v>
      </c>
      <c r="M23" s="68">
        <v>12</v>
      </c>
      <c r="N23" s="69">
        <f t="shared" si="2"/>
        <v>46500</v>
      </c>
      <c r="O23" s="69">
        <f t="shared" si="3"/>
        <v>1213312.131796638</v>
      </c>
      <c r="P23" s="69">
        <f t="shared" si="4"/>
        <v>28209.507064271835</v>
      </c>
      <c r="Q23" s="69">
        <f t="shared" si="5"/>
        <v>18290.492935728165</v>
      </c>
      <c r="R23" s="70">
        <v>0.606656065898319</v>
      </c>
      <c r="S23" s="69"/>
      <c r="T23" s="68"/>
      <c r="U23" s="69"/>
      <c r="V23" s="69">
        <f t="shared" si="1"/>
        <v>1213312.131796638</v>
      </c>
      <c r="W23" s="69">
        <f t="shared" si="1"/>
        <v>28209.507064271835</v>
      </c>
      <c r="X23" s="71">
        <f t="shared" si="6"/>
        <v>1213312.131796638</v>
      </c>
      <c r="Y23" s="71">
        <f t="shared" si="6"/>
        <v>28209.507064271835</v>
      </c>
      <c r="Z23" s="71"/>
      <c r="AA23" s="71"/>
      <c r="AB23" s="71">
        <f>Y23-Z23-AA23</f>
        <v>28209.507064271835</v>
      </c>
      <c r="AC23" s="72">
        <v>485324.85271865525</v>
      </c>
      <c r="AD23" s="72">
        <f>AB23/J23/K23/9*M23</f>
        <v>539249.83635406138</v>
      </c>
      <c r="AE23" s="72"/>
      <c r="AF23" s="73"/>
      <c r="AG23" s="73">
        <f t="shared" si="7"/>
        <v>28209.507064271835</v>
      </c>
      <c r="AH23" s="74">
        <f>AB23/J23/K23/8*M23</f>
        <v>606656.06589831901</v>
      </c>
      <c r="AI23" s="74"/>
    </row>
    <row r="24" spans="1:35" s="75" customFormat="1" ht="25.5">
      <c r="A24" s="62">
        <f t="shared" si="8"/>
        <v>14</v>
      </c>
      <c r="B24" s="63" t="s">
        <v>60</v>
      </c>
      <c r="C24" s="64" t="s">
        <v>61</v>
      </c>
      <c r="D24" s="63" t="s">
        <v>62</v>
      </c>
      <c r="E24" s="63" t="s">
        <v>41</v>
      </c>
      <c r="F24" s="63"/>
      <c r="G24" s="63"/>
      <c r="H24" s="65">
        <v>43647</v>
      </c>
      <c r="I24" s="66">
        <v>20000000</v>
      </c>
      <c r="J24" s="67">
        <v>7.7499999999999999E-2</v>
      </c>
      <c r="K24" s="68">
        <v>0.9</v>
      </c>
      <c r="L24" s="69">
        <v>5</v>
      </c>
      <c r="M24" s="68">
        <v>12</v>
      </c>
      <c r="N24" s="69">
        <f t="shared" si="2"/>
        <v>581250</v>
      </c>
      <c r="O24" s="69">
        <f t="shared" si="3"/>
        <v>12133121.317966379</v>
      </c>
      <c r="P24" s="69">
        <f t="shared" si="4"/>
        <v>352618.83830339788</v>
      </c>
      <c r="Q24" s="69">
        <f t="shared" si="5"/>
        <v>228631.16169660212</v>
      </c>
      <c r="R24" s="70">
        <v>0.606656065898319</v>
      </c>
      <c r="S24" s="69"/>
      <c r="T24" s="68"/>
      <c r="U24" s="69"/>
      <c r="V24" s="69">
        <f t="shared" si="1"/>
        <v>12133121.317966379</v>
      </c>
      <c r="W24" s="69">
        <f t="shared" si="1"/>
        <v>352618.83830339788</v>
      </c>
      <c r="X24" s="71">
        <f t="shared" si="6"/>
        <v>12133121.317966379</v>
      </c>
      <c r="Y24" s="71">
        <f t="shared" si="6"/>
        <v>352618.83830339788</v>
      </c>
      <c r="Z24" s="71"/>
      <c r="AA24" s="71"/>
      <c r="AB24" s="71">
        <f>Y24-Z24-AA24</f>
        <v>352618.83830339788</v>
      </c>
      <c r="AC24" s="72">
        <v>7886528.856678145</v>
      </c>
      <c r="AD24" s="72">
        <f>AB24/J24/K24/9*M24</f>
        <v>6740622.9544257652</v>
      </c>
      <c r="AE24" s="72"/>
      <c r="AF24" s="73"/>
      <c r="AG24" s="73">
        <f t="shared" si="7"/>
        <v>352618.83830339788</v>
      </c>
      <c r="AH24" s="74">
        <f>AB24/J24/K24/8*M24</f>
        <v>7583200.8237289861</v>
      </c>
      <c r="AI24" s="74"/>
    </row>
    <row r="25" spans="1:35" s="75" customFormat="1" ht="25.5">
      <c r="A25" s="62">
        <f t="shared" si="8"/>
        <v>15</v>
      </c>
      <c r="B25" s="63" t="s">
        <v>60</v>
      </c>
      <c r="C25" s="64" t="s">
        <v>61</v>
      </c>
      <c r="D25" s="63" t="s">
        <v>62</v>
      </c>
      <c r="E25" s="63" t="s">
        <v>41</v>
      </c>
      <c r="F25" s="63"/>
      <c r="G25" s="63"/>
      <c r="H25" s="65">
        <v>43770</v>
      </c>
      <c r="I25" s="66">
        <v>30000000</v>
      </c>
      <c r="J25" s="67">
        <v>7.7499999999999999E-2</v>
      </c>
      <c r="K25" s="68">
        <v>0.9</v>
      </c>
      <c r="L25" s="69">
        <v>1</v>
      </c>
      <c r="M25" s="68">
        <v>12</v>
      </c>
      <c r="N25" s="69">
        <f t="shared" si="2"/>
        <v>174375</v>
      </c>
      <c r="O25" s="69">
        <f t="shared" si="3"/>
        <v>18199681.976949569</v>
      </c>
      <c r="P25" s="69">
        <f t="shared" si="4"/>
        <v>105785.65149101937</v>
      </c>
      <c r="Q25" s="69">
        <f t="shared" si="5"/>
        <v>68589.348508980635</v>
      </c>
      <c r="R25" s="70">
        <v>0.606656065898319</v>
      </c>
      <c r="S25" s="69"/>
      <c r="T25" s="68"/>
      <c r="U25" s="69"/>
      <c r="V25" s="69">
        <f t="shared" si="1"/>
        <v>18199681.976949569</v>
      </c>
      <c r="W25" s="69">
        <f t="shared" si="1"/>
        <v>105785.65149101937</v>
      </c>
      <c r="X25" s="71">
        <f t="shared" si="6"/>
        <v>18199681.976949569</v>
      </c>
      <c r="Y25" s="71">
        <f t="shared" si="6"/>
        <v>105785.65149101937</v>
      </c>
      <c r="Z25" s="90"/>
      <c r="AA25" s="90"/>
      <c r="AB25" s="71">
        <f>Y25-Z25-AA25</f>
        <v>105785.65149101937</v>
      </c>
      <c r="AC25" s="72">
        <v>0</v>
      </c>
      <c r="AD25" s="72">
        <f>AB25/J25/K25/9*M25</f>
        <v>2022186.88632773</v>
      </c>
      <c r="AE25" s="72"/>
      <c r="AF25" s="73"/>
      <c r="AG25" s="73">
        <f t="shared" si="7"/>
        <v>105785.65149101937</v>
      </c>
      <c r="AH25" s="74">
        <f>AB25/J25/K25/8*M25</f>
        <v>2274960.2471186961</v>
      </c>
      <c r="AI25" s="74"/>
    </row>
    <row r="26" spans="1:35" s="75" customFormat="1" ht="25.5">
      <c r="A26" s="62">
        <f t="shared" si="8"/>
        <v>16</v>
      </c>
      <c r="B26" s="63" t="s">
        <v>63</v>
      </c>
      <c r="C26" s="64" t="s">
        <v>64</v>
      </c>
      <c r="D26" s="63" t="s">
        <v>62</v>
      </c>
      <c r="E26" s="63" t="s">
        <v>41</v>
      </c>
      <c r="F26" s="63"/>
      <c r="G26" s="63"/>
      <c r="H26" s="65">
        <v>43497</v>
      </c>
      <c r="I26" s="66">
        <v>3000000</v>
      </c>
      <c r="J26" s="67">
        <v>7.7499999999999999E-2</v>
      </c>
      <c r="K26" s="68">
        <v>0.9</v>
      </c>
      <c r="L26" s="69">
        <v>10</v>
      </c>
      <c r="M26" s="68">
        <v>12</v>
      </c>
      <c r="N26" s="69">
        <f t="shared" si="2"/>
        <v>174375</v>
      </c>
      <c r="O26" s="69">
        <f t="shared" si="3"/>
        <v>1819968.197694957</v>
      </c>
      <c r="P26" s="69">
        <f t="shared" si="4"/>
        <v>105785.65149101937</v>
      </c>
      <c r="Q26" s="69">
        <f t="shared" si="5"/>
        <v>68589.348508980635</v>
      </c>
      <c r="R26" s="70">
        <v>0.606656065898319</v>
      </c>
      <c r="S26" s="69"/>
      <c r="T26" s="68"/>
      <c r="U26" s="69"/>
      <c r="V26" s="69">
        <f t="shared" si="1"/>
        <v>1819968.197694957</v>
      </c>
      <c r="W26" s="69">
        <f t="shared" si="1"/>
        <v>105785.65149101937</v>
      </c>
      <c r="X26" s="71">
        <f t="shared" si="6"/>
        <v>1819968.197694957</v>
      </c>
      <c r="Y26" s="71">
        <f t="shared" si="6"/>
        <v>105785.65149101937</v>
      </c>
      <c r="Z26" s="71"/>
      <c r="AA26" s="71"/>
      <c r="AB26" s="71">
        <f>Y26-Z26-AA26</f>
        <v>105785.65149101937</v>
      </c>
      <c r="AC26" s="72">
        <v>2365958.6570034437</v>
      </c>
      <c r="AD26" s="72">
        <f>AB26/J26/K26/9*M26</f>
        <v>2022186.88632773</v>
      </c>
      <c r="AE26" s="72"/>
      <c r="AF26" s="73"/>
      <c r="AG26" s="73">
        <f t="shared" si="7"/>
        <v>105785.65149101937</v>
      </c>
      <c r="AH26" s="74">
        <f>AB26/J26/K26/8*M26</f>
        <v>2274960.2471186961</v>
      </c>
      <c r="AI26" s="74"/>
    </row>
    <row r="27" spans="1:35" s="75" customFormat="1" ht="25.5">
      <c r="A27" s="62">
        <f t="shared" si="8"/>
        <v>17</v>
      </c>
      <c r="B27" s="63" t="s">
        <v>63</v>
      </c>
      <c r="C27" s="64" t="s">
        <v>64</v>
      </c>
      <c r="D27" s="63" t="s">
        <v>62</v>
      </c>
      <c r="E27" s="63" t="s">
        <v>41</v>
      </c>
      <c r="F27" s="63"/>
      <c r="G27" s="63"/>
      <c r="H27" s="65">
        <v>43709</v>
      </c>
      <c r="I27" s="66">
        <v>3000000</v>
      </c>
      <c r="J27" s="67">
        <v>7.7499999999999999E-2</v>
      </c>
      <c r="K27" s="68">
        <v>0.9</v>
      </c>
      <c r="L27" s="69">
        <v>3</v>
      </c>
      <c r="M27" s="68">
        <v>12</v>
      </c>
      <c r="N27" s="69">
        <f t="shared" si="2"/>
        <v>52312.5</v>
      </c>
      <c r="O27" s="69">
        <f t="shared" si="3"/>
        <v>1819968.197694957</v>
      </c>
      <c r="P27" s="69">
        <f t="shared" si="4"/>
        <v>31735.695447305814</v>
      </c>
      <c r="Q27" s="69">
        <f t="shared" si="5"/>
        <v>20576.804552694186</v>
      </c>
      <c r="R27" s="70">
        <v>0.606656065898319</v>
      </c>
      <c r="S27" s="69"/>
      <c r="T27" s="68"/>
      <c r="U27" s="69"/>
      <c r="V27" s="69">
        <f t="shared" si="1"/>
        <v>1819968.197694957</v>
      </c>
      <c r="W27" s="69">
        <f t="shared" si="1"/>
        <v>31735.695447305814</v>
      </c>
      <c r="X27" s="71">
        <f t="shared" si="6"/>
        <v>1819968.197694957</v>
      </c>
      <c r="Y27" s="71">
        <f t="shared" si="6"/>
        <v>31735.695447305814</v>
      </c>
      <c r="Z27" s="90"/>
      <c r="AA27" s="90"/>
      <c r="AB27" s="71">
        <f>Y27-Z27-AA27</f>
        <v>31735.695447305814</v>
      </c>
      <c r="AC27" s="72">
        <v>0</v>
      </c>
      <c r="AD27" s="72">
        <f>AB27/J27/K27/9*M27</f>
        <v>606656.06589831901</v>
      </c>
      <c r="AE27" s="72"/>
      <c r="AF27" s="73"/>
      <c r="AG27" s="73">
        <f t="shared" si="7"/>
        <v>31735.695447305814</v>
      </c>
      <c r="AH27" s="74">
        <f>AB27/J27/K27/8*M27</f>
        <v>682488.07413560885</v>
      </c>
      <c r="AI27" s="74"/>
    </row>
    <row r="28" spans="1:35" s="127" customFormat="1" ht="25.5">
      <c r="A28" s="110">
        <f t="shared" si="8"/>
        <v>18</v>
      </c>
      <c r="B28" s="111" t="s">
        <v>65</v>
      </c>
      <c r="C28" s="112" t="s">
        <v>66</v>
      </c>
      <c r="D28" s="111" t="s">
        <v>62</v>
      </c>
      <c r="E28" s="113" t="s">
        <v>41</v>
      </c>
      <c r="F28" s="111"/>
      <c r="G28" s="111"/>
      <c r="H28" s="114">
        <v>43497</v>
      </c>
      <c r="I28" s="115">
        <v>4000000</v>
      </c>
      <c r="J28" s="116">
        <v>7.7499999999999999E-2</v>
      </c>
      <c r="K28" s="117">
        <v>0.9</v>
      </c>
      <c r="L28" s="118">
        <v>10</v>
      </c>
      <c r="M28" s="117">
        <v>12</v>
      </c>
      <c r="N28" s="118">
        <f t="shared" si="2"/>
        <v>232500</v>
      </c>
      <c r="O28" s="118">
        <f t="shared" si="3"/>
        <v>2426624.263593276</v>
      </c>
      <c r="P28" s="118">
        <f t="shared" si="4"/>
        <v>141047.53532135917</v>
      </c>
      <c r="Q28" s="118">
        <f t="shared" si="5"/>
        <v>91452.464678640827</v>
      </c>
      <c r="R28" s="119">
        <v>0.606656065898319</v>
      </c>
      <c r="S28" s="143">
        <v>7240000</v>
      </c>
      <c r="T28" s="142">
        <f>420825-T29</f>
        <v>350301.23</v>
      </c>
      <c r="U28" s="120">
        <f>P28</f>
        <v>141047.53532135917</v>
      </c>
      <c r="V28" s="118">
        <f t="shared" si="1"/>
        <v>-4813375.736406724</v>
      </c>
      <c r="W28" s="118">
        <f t="shared" si="1"/>
        <v>-209253.69467864081</v>
      </c>
      <c r="X28" s="121">
        <f t="shared" si="6"/>
        <v>-4813375.736406724</v>
      </c>
      <c r="Y28" s="121">
        <f t="shared" si="6"/>
        <v>-209253.69467864081</v>
      </c>
      <c r="Z28" s="121"/>
      <c r="AA28" s="121"/>
      <c r="AB28" s="121">
        <f>Y28-Z28-AA28</f>
        <v>-209253.69467864081</v>
      </c>
      <c r="AC28" s="122">
        <v>-3600063.6046100855</v>
      </c>
      <c r="AD28" s="122">
        <f>AB28/J28/K28/9*M28</f>
        <v>-4000070.627070792</v>
      </c>
      <c r="AE28" s="122"/>
      <c r="AF28" s="123"/>
      <c r="AG28" s="124">
        <f t="shared" si="7"/>
        <v>-209253.69467864081</v>
      </c>
      <c r="AH28" s="125">
        <f>AB28/J28/K28/8*M28</f>
        <v>-4500079.455454641</v>
      </c>
      <c r="AI28" s="126"/>
    </row>
    <row r="29" spans="1:35" s="127" customFormat="1" ht="25.5">
      <c r="A29" s="110">
        <f t="shared" si="8"/>
        <v>19</v>
      </c>
      <c r="B29" s="111" t="s">
        <v>65</v>
      </c>
      <c r="C29" s="112" t="s">
        <v>66</v>
      </c>
      <c r="D29" s="111" t="s">
        <v>62</v>
      </c>
      <c r="E29" s="113" t="s">
        <v>41</v>
      </c>
      <c r="F29" s="111"/>
      <c r="G29" s="111"/>
      <c r="H29" s="114">
        <v>43647</v>
      </c>
      <c r="I29" s="115">
        <v>4000000</v>
      </c>
      <c r="J29" s="116">
        <v>7.7499999999999999E-2</v>
      </c>
      <c r="K29" s="117">
        <v>0.9</v>
      </c>
      <c r="L29" s="118">
        <v>5</v>
      </c>
      <c r="M29" s="117">
        <v>12</v>
      </c>
      <c r="N29" s="118">
        <f t="shared" si="2"/>
        <v>116250</v>
      </c>
      <c r="O29" s="118">
        <f t="shared" si="3"/>
        <v>2426624.263593276</v>
      </c>
      <c r="P29" s="118">
        <f t="shared" si="4"/>
        <v>70523.767660679587</v>
      </c>
      <c r="Q29" s="118">
        <f t="shared" si="5"/>
        <v>45726.232339320413</v>
      </c>
      <c r="R29" s="119">
        <v>0.606656065898319</v>
      </c>
      <c r="S29" s="118"/>
      <c r="T29" s="117">
        <v>70523.77</v>
      </c>
      <c r="U29" s="120">
        <f>P29</f>
        <v>70523.767660679587</v>
      </c>
      <c r="V29" s="118">
        <f t="shared" si="1"/>
        <v>2426624.263593276</v>
      </c>
      <c r="W29" s="118">
        <f t="shared" si="1"/>
        <v>-2.3393204173771665E-3</v>
      </c>
      <c r="X29" s="121">
        <f t="shared" si="6"/>
        <v>2426624.263593276</v>
      </c>
      <c r="Y29" s="121">
        <f t="shared" si="6"/>
        <v>-2.3393204173771665E-3</v>
      </c>
      <c r="Z29" s="144"/>
      <c r="AA29" s="144"/>
      <c r="AB29" s="121">
        <f>Y29-Z29-AA29</f>
        <v>-2.3393204173771665E-3</v>
      </c>
      <c r="AC29" s="122">
        <v>0</v>
      </c>
      <c r="AD29" s="122">
        <f>AB29/J29/K29/9*M29</f>
        <v>-4.471819196897809E-2</v>
      </c>
      <c r="AE29" s="122"/>
      <c r="AF29" s="123"/>
      <c r="AG29" s="124">
        <f t="shared" si="7"/>
        <v>-2.3393204173771665E-3</v>
      </c>
      <c r="AH29" s="125">
        <f>AB29/J29/K29/8*M29</f>
        <v>-5.0307965965100357E-2</v>
      </c>
      <c r="AI29" s="126"/>
    </row>
    <row r="30" spans="1:35" s="75" customFormat="1" ht="25.5">
      <c r="A30" s="62">
        <f t="shared" si="8"/>
        <v>20</v>
      </c>
      <c r="B30" s="63" t="s">
        <v>67</v>
      </c>
      <c r="C30" s="64" t="s">
        <v>68</v>
      </c>
      <c r="D30" s="63" t="s">
        <v>62</v>
      </c>
      <c r="E30" s="63" t="s">
        <v>41</v>
      </c>
      <c r="F30" s="63"/>
      <c r="G30" s="63"/>
      <c r="H30" s="65">
        <v>43525</v>
      </c>
      <c r="I30" s="66">
        <v>4000000</v>
      </c>
      <c r="J30" s="67">
        <v>7.7499999999999999E-2</v>
      </c>
      <c r="K30" s="68">
        <v>0.9</v>
      </c>
      <c r="L30" s="69">
        <v>9</v>
      </c>
      <c r="M30" s="68">
        <v>12</v>
      </c>
      <c r="N30" s="69">
        <f t="shared" si="2"/>
        <v>209250</v>
      </c>
      <c r="O30" s="69">
        <f t="shared" si="3"/>
        <v>2426624.263593276</v>
      </c>
      <c r="P30" s="69">
        <f t="shared" si="4"/>
        <v>126942.78178922326</v>
      </c>
      <c r="Q30" s="69">
        <f t="shared" si="5"/>
        <v>82307.218210776744</v>
      </c>
      <c r="R30" s="70">
        <v>0.606656065898319</v>
      </c>
      <c r="S30" s="69"/>
      <c r="T30" s="68"/>
      <c r="U30" s="69"/>
      <c r="V30" s="69">
        <f t="shared" si="1"/>
        <v>2426624.263593276</v>
      </c>
      <c r="W30" s="69">
        <f t="shared" si="1"/>
        <v>126942.78178922326</v>
      </c>
      <c r="X30" s="71">
        <f t="shared" si="6"/>
        <v>2426624.263593276</v>
      </c>
      <c r="Y30" s="71">
        <f t="shared" si="6"/>
        <v>126942.78178922326</v>
      </c>
      <c r="Z30" s="71">
        <v>125893.97</v>
      </c>
      <c r="AA30" s="71"/>
      <c r="AB30" s="71">
        <f>Y30-Z30-AA30</f>
        <v>1048.8117892232549</v>
      </c>
      <c r="AC30" s="72">
        <v>-1616038.1627660515</v>
      </c>
      <c r="AD30" s="72">
        <f>AB30/J30/K30/9*M30</f>
        <v>20048.970881209174</v>
      </c>
      <c r="AE30" s="72"/>
      <c r="AF30" s="73"/>
      <c r="AG30" s="73">
        <f t="shared" si="7"/>
        <v>1048.8117892232549</v>
      </c>
      <c r="AH30" s="74">
        <f>AB30/J30/K30/8*M30</f>
        <v>22555.092241360318</v>
      </c>
      <c r="AI30" s="74"/>
    </row>
    <row r="31" spans="1:35" s="75" customFormat="1" ht="25.5">
      <c r="A31" s="62">
        <f t="shared" si="8"/>
        <v>21</v>
      </c>
      <c r="B31" s="63" t="s">
        <v>69</v>
      </c>
      <c r="C31" s="64" t="s">
        <v>70</v>
      </c>
      <c r="D31" s="63" t="s">
        <v>62</v>
      </c>
      <c r="E31" s="63" t="s">
        <v>41</v>
      </c>
      <c r="F31" s="63"/>
      <c r="G31" s="63"/>
      <c r="H31" s="65">
        <v>43556</v>
      </c>
      <c r="I31" s="66">
        <v>500000</v>
      </c>
      <c r="J31" s="67">
        <v>7.7499999999999999E-2</v>
      </c>
      <c r="K31" s="68">
        <v>0.9</v>
      </c>
      <c r="L31" s="69">
        <v>8</v>
      </c>
      <c r="M31" s="68">
        <v>12</v>
      </c>
      <c r="N31" s="69">
        <f t="shared" si="2"/>
        <v>23250</v>
      </c>
      <c r="O31" s="69">
        <f t="shared" si="3"/>
        <v>303328.0329491595</v>
      </c>
      <c r="P31" s="69">
        <f t="shared" si="4"/>
        <v>14104.753532135917</v>
      </c>
      <c r="Q31" s="69">
        <f t="shared" si="5"/>
        <v>9145.2464678640827</v>
      </c>
      <c r="R31" s="70">
        <v>0.606656065898319</v>
      </c>
      <c r="S31" s="69"/>
      <c r="T31" s="68"/>
      <c r="U31" s="69"/>
      <c r="V31" s="69">
        <f t="shared" si="1"/>
        <v>303328.0329491595</v>
      </c>
      <c r="W31" s="69">
        <f t="shared" si="1"/>
        <v>14104.753532135917</v>
      </c>
      <c r="X31" s="71">
        <f t="shared" si="6"/>
        <v>303328.0329491595</v>
      </c>
      <c r="Y31" s="71">
        <f t="shared" si="6"/>
        <v>14104.753532135917</v>
      </c>
      <c r="Z31" s="71"/>
      <c r="AA31" s="71"/>
      <c r="AB31" s="71">
        <f>Y31-Z31-AA31</f>
        <v>14104.753532135917</v>
      </c>
      <c r="AC31" s="72">
        <v>242662.42635932763</v>
      </c>
      <c r="AD31" s="72">
        <f>AB31/J31/K31/9*M31</f>
        <v>269624.91817703069</v>
      </c>
      <c r="AE31" s="72"/>
      <c r="AF31" s="73"/>
      <c r="AG31" s="73">
        <f t="shared" si="7"/>
        <v>14104.753532135917</v>
      </c>
      <c r="AH31" s="74">
        <f>AB31/J31/K31/8*M31</f>
        <v>303328.0329491595</v>
      </c>
      <c r="AI31" s="74"/>
    </row>
    <row r="32" spans="1:35" s="75" customFormat="1" ht="25.5">
      <c r="A32" s="62">
        <f t="shared" si="8"/>
        <v>22</v>
      </c>
      <c r="B32" s="63" t="s">
        <v>71</v>
      </c>
      <c r="C32" s="64" t="s">
        <v>72</v>
      </c>
      <c r="D32" s="63" t="s">
        <v>73</v>
      </c>
      <c r="E32" s="63" t="s">
        <v>41</v>
      </c>
      <c r="F32" s="63"/>
      <c r="G32" s="63"/>
      <c r="H32" s="65">
        <v>43586</v>
      </c>
      <c r="I32" s="66">
        <v>20000000</v>
      </c>
      <c r="J32" s="67">
        <v>7.7499999999999999E-2</v>
      </c>
      <c r="K32" s="68">
        <v>0.9</v>
      </c>
      <c r="L32" s="69">
        <v>7</v>
      </c>
      <c r="M32" s="68">
        <v>12</v>
      </c>
      <c r="N32" s="69">
        <f t="shared" si="2"/>
        <v>813750</v>
      </c>
      <c r="O32" s="69">
        <f t="shared" si="3"/>
        <v>12133121.317966379</v>
      </c>
      <c r="P32" s="69">
        <f t="shared" si="4"/>
        <v>493666.37362475699</v>
      </c>
      <c r="Q32" s="69">
        <f t="shared" si="5"/>
        <v>320083.62637524301</v>
      </c>
      <c r="R32" s="70">
        <v>0.606656065898319</v>
      </c>
      <c r="S32" s="69"/>
      <c r="T32" s="68"/>
      <c r="U32" s="69"/>
      <c r="V32" s="69">
        <f t="shared" si="1"/>
        <v>12133121.317966379</v>
      </c>
      <c r="W32" s="69">
        <f t="shared" si="1"/>
        <v>493666.37362475699</v>
      </c>
      <c r="X32" s="71">
        <f t="shared" si="6"/>
        <v>12133121.317966379</v>
      </c>
      <c r="Y32" s="71">
        <f t="shared" si="6"/>
        <v>493666.37362475699</v>
      </c>
      <c r="Z32" s="71"/>
      <c r="AA32" s="71"/>
      <c r="AB32" s="71">
        <f>Y32-Z32-AA32</f>
        <v>493666.37362475699</v>
      </c>
      <c r="AC32" s="72">
        <v>8493184.9225764647</v>
      </c>
      <c r="AD32" s="72">
        <f>AB32/J32/K32/9*M32</f>
        <v>9436872.1361960731</v>
      </c>
      <c r="AE32" s="72"/>
      <c r="AF32" s="73"/>
      <c r="AG32" s="73">
        <f t="shared" si="7"/>
        <v>493666.37362475699</v>
      </c>
      <c r="AH32" s="74">
        <f>AB32/J32/K32/8*M32</f>
        <v>10616481.153220581</v>
      </c>
      <c r="AI32" s="74"/>
    </row>
    <row r="33" spans="1:35" s="127" customFormat="1" ht="25.5">
      <c r="A33" s="110">
        <f t="shared" si="8"/>
        <v>23</v>
      </c>
      <c r="B33" s="111" t="s">
        <v>74</v>
      </c>
      <c r="C33" s="112" t="s">
        <v>75</v>
      </c>
      <c r="D33" s="111" t="s">
        <v>40</v>
      </c>
      <c r="E33" s="113"/>
      <c r="F33" s="111"/>
      <c r="G33" s="111"/>
      <c r="H33" s="114">
        <v>43525</v>
      </c>
      <c r="I33" s="115">
        <v>5000000</v>
      </c>
      <c r="J33" s="116">
        <v>7.7499999999999999E-2</v>
      </c>
      <c r="K33" s="117">
        <v>0.9</v>
      </c>
      <c r="L33" s="118">
        <v>9</v>
      </c>
      <c r="M33" s="117">
        <v>12</v>
      </c>
      <c r="N33" s="118">
        <f t="shared" si="2"/>
        <v>261562.5</v>
      </c>
      <c r="O33" s="118">
        <f t="shared" si="3"/>
        <v>3033280.3294915948</v>
      </c>
      <c r="P33" s="118">
        <f t="shared" si="4"/>
        <v>158678.47723652906</v>
      </c>
      <c r="Q33" s="118">
        <f t="shared" si="5"/>
        <v>102884.02276347094</v>
      </c>
      <c r="R33" s="119">
        <v>0.606656065898319</v>
      </c>
      <c r="S33" s="118">
        <v>7000000</v>
      </c>
      <c r="T33" s="118">
        <v>406875</v>
      </c>
      <c r="U33" s="120">
        <f>P33</f>
        <v>158678.47723652906</v>
      </c>
      <c r="V33" s="118">
        <f t="shared" si="1"/>
        <v>-3966719.6705084052</v>
      </c>
      <c r="W33" s="118">
        <f t="shared" si="1"/>
        <v>-248196.52276347094</v>
      </c>
      <c r="X33" s="121">
        <f t="shared" si="6"/>
        <v>-3966719.6705084052</v>
      </c>
      <c r="Y33" s="121">
        <f t="shared" si="6"/>
        <v>-248196.52276347094</v>
      </c>
      <c r="Z33" s="121"/>
      <c r="AA33" s="121"/>
      <c r="AB33" s="121">
        <f>Y33-Z33-AA33</f>
        <v>-248196.52276347094</v>
      </c>
      <c r="AC33" s="122">
        <v>-4270047.7034575641</v>
      </c>
      <c r="AD33" s="122">
        <f>AB33/J33/K33/9*M33</f>
        <v>-4744497.4482861832</v>
      </c>
      <c r="AE33" s="122"/>
      <c r="AF33" s="123"/>
      <c r="AG33" s="124">
        <f t="shared" si="7"/>
        <v>-248196.52276347094</v>
      </c>
      <c r="AH33" s="125">
        <f>AB33/J33/K33/8*M33</f>
        <v>-5337559.6293219561</v>
      </c>
      <c r="AI33" s="126"/>
    </row>
    <row r="34" spans="1:35" s="75" customFormat="1" ht="25.5">
      <c r="A34" s="62">
        <f t="shared" si="8"/>
        <v>24</v>
      </c>
      <c r="B34" s="63" t="s">
        <v>76</v>
      </c>
      <c r="C34" s="64" t="s">
        <v>77</v>
      </c>
      <c r="D34" s="63" t="s">
        <v>40</v>
      </c>
      <c r="E34" s="63" t="s">
        <v>41</v>
      </c>
      <c r="F34" s="63"/>
      <c r="G34" s="63"/>
      <c r="H34" s="65">
        <v>43497</v>
      </c>
      <c r="I34" s="66">
        <v>6000000</v>
      </c>
      <c r="J34" s="67">
        <v>7.7499999999999999E-2</v>
      </c>
      <c r="K34" s="68">
        <v>0.9</v>
      </c>
      <c r="L34" s="69">
        <v>10</v>
      </c>
      <c r="M34" s="68">
        <v>12</v>
      </c>
      <c r="N34" s="69">
        <f t="shared" si="2"/>
        <v>348750</v>
      </c>
      <c r="O34" s="69">
        <f t="shared" si="3"/>
        <v>3639936.395389914</v>
      </c>
      <c r="P34" s="69">
        <f t="shared" si="4"/>
        <v>211571.30298203873</v>
      </c>
      <c r="Q34" s="69">
        <f t="shared" si="5"/>
        <v>137178.69701796127</v>
      </c>
      <c r="R34" s="70">
        <v>0.606656065898319</v>
      </c>
      <c r="S34" s="69"/>
      <c r="T34" s="68"/>
      <c r="U34" s="69"/>
      <c r="V34" s="69">
        <f t="shared" si="1"/>
        <v>3639936.395389914</v>
      </c>
      <c r="W34" s="69">
        <f t="shared" si="1"/>
        <v>211571.30298203873</v>
      </c>
      <c r="X34" s="71">
        <f t="shared" si="6"/>
        <v>3639936.395389914</v>
      </c>
      <c r="Y34" s="71">
        <f t="shared" si="6"/>
        <v>211571.30298203873</v>
      </c>
      <c r="Z34" s="71"/>
      <c r="AA34" s="71"/>
      <c r="AB34" s="71">
        <f>Y34-Z34-AA34</f>
        <v>211571.30298203873</v>
      </c>
      <c r="AC34" s="72">
        <v>3639936.395389914</v>
      </c>
      <c r="AD34" s="72">
        <f>AB34/J34/K34/9*M34</f>
        <v>4044373.7726554601</v>
      </c>
      <c r="AE34" s="72">
        <v>211571.28</v>
      </c>
      <c r="AF34" s="73"/>
      <c r="AG34" s="73">
        <f t="shared" si="7"/>
        <v>211571.30298203873</v>
      </c>
      <c r="AH34" s="74">
        <f>AB34/J34/K34/8*M34</f>
        <v>4549920.4942373922</v>
      </c>
      <c r="AI34" s="93">
        <v>4549920</v>
      </c>
    </row>
    <row r="35" spans="1:35" s="75" customFormat="1" ht="25.5">
      <c r="A35" s="62">
        <f t="shared" si="8"/>
        <v>25</v>
      </c>
      <c r="B35" s="63" t="s">
        <v>78</v>
      </c>
      <c r="C35" s="64" t="s">
        <v>79</v>
      </c>
      <c r="D35" s="63" t="s">
        <v>80</v>
      </c>
      <c r="E35" s="63" t="s">
        <v>41</v>
      </c>
      <c r="F35" s="63"/>
      <c r="G35" s="63"/>
      <c r="H35" s="65">
        <v>43586</v>
      </c>
      <c r="I35" s="66">
        <v>10000000</v>
      </c>
      <c r="J35" s="67">
        <v>7.7499999999999999E-2</v>
      </c>
      <c r="K35" s="68">
        <v>0.9</v>
      </c>
      <c r="L35" s="69">
        <v>7</v>
      </c>
      <c r="M35" s="68">
        <v>12</v>
      </c>
      <c r="N35" s="69">
        <f t="shared" si="2"/>
        <v>406875</v>
      </c>
      <c r="O35" s="69">
        <f t="shared" si="3"/>
        <v>6066560.6589831896</v>
      </c>
      <c r="P35" s="69">
        <f t="shared" si="4"/>
        <v>246833.1868123785</v>
      </c>
      <c r="Q35" s="69">
        <f t="shared" si="5"/>
        <v>160041.8131876215</v>
      </c>
      <c r="R35" s="70">
        <v>0.606656065898319</v>
      </c>
      <c r="S35" s="69"/>
      <c r="T35" s="68"/>
      <c r="U35" s="69"/>
      <c r="V35" s="69">
        <f t="shared" si="1"/>
        <v>6066560.6589831896</v>
      </c>
      <c r="W35" s="69">
        <f t="shared" si="1"/>
        <v>246833.1868123785</v>
      </c>
      <c r="X35" s="71">
        <f t="shared" si="6"/>
        <v>6066560.6589831896</v>
      </c>
      <c r="Y35" s="71">
        <f t="shared" si="6"/>
        <v>246833.1868123785</v>
      </c>
      <c r="Z35" s="71"/>
      <c r="AA35" s="71"/>
      <c r="AB35" s="71">
        <f>Y35-Z35-AA35</f>
        <v>246833.1868123785</v>
      </c>
      <c r="AC35" s="72">
        <v>4246592.4612882324</v>
      </c>
      <c r="AD35" s="72">
        <f>AB35/J35/K35/9*M35</f>
        <v>4718436.0680980366</v>
      </c>
      <c r="AE35" s="72"/>
      <c r="AF35" s="73"/>
      <c r="AG35" s="73">
        <f t="shared" si="7"/>
        <v>246833.1868123785</v>
      </c>
      <c r="AH35" s="74">
        <f>AB35/J35/K35/8*M35</f>
        <v>5308240.5766102904</v>
      </c>
      <c r="AI35" s="74"/>
    </row>
    <row r="36" spans="1:35" s="127" customFormat="1" ht="25.5">
      <c r="A36" s="110">
        <f t="shared" si="8"/>
        <v>26</v>
      </c>
      <c r="B36" s="111" t="s">
        <v>81</v>
      </c>
      <c r="C36" s="112" t="s">
        <v>82</v>
      </c>
      <c r="D36" s="111" t="s">
        <v>40</v>
      </c>
      <c r="E36" s="113"/>
      <c r="F36" s="111"/>
      <c r="G36" s="111"/>
      <c r="H36" s="114">
        <v>43556</v>
      </c>
      <c r="I36" s="115">
        <v>10000000</v>
      </c>
      <c r="J36" s="116">
        <v>7.7499999999999999E-2</v>
      </c>
      <c r="K36" s="117">
        <v>0.9</v>
      </c>
      <c r="L36" s="118">
        <v>8</v>
      </c>
      <c r="M36" s="117">
        <v>12</v>
      </c>
      <c r="N36" s="118">
        <f t="shared" si="2"/>
        <v>465000</v>
      </c>
      <c r="O36" s="118">
        <f t="shared" si="3"/>
        <v>6066560.6589831896</v>
      </c>
      <c r="P36" s="118">
        <f t="shared" si="4"/>
        <v>282095.07064271829</v>
      </c>
      <c r="Q36" s="118">
        <f t="shared" si="5"/>
        <v>182904.92935728171</v>
      </c>
      <c r="R36" s="119">
        <v>0.606656065898319</v>
      </c>
      <c r="S36" s="118">
        <v>35000000</v>
      </c>
      <c r="T36" s="118">
        <v>2034375</v>
      </c>
      <c r="U36" s="120">
        <f>P36</f>
        <v>282095.07064271829</v>
      </c>
      <c r="V36" s="118">
        <f t="shared" si="1"/>
        <v>-28933439.34101681</v>
      </c>
      <c r="W36" s="118">
        <f t="shared" si="1"/>
        <v>-1752279.9293572817</v>
      </c>
      <c r="X36" s="121">
        <f t="shared" si="6"/>
        <v>-28933439.34101681</v>
      </c>
      <c r="Y36" s="121">
        <f t="shared" si="6"/>
        <v>-1752279.9293572817</v>
      </c>
      <c r="Z36" s="121"/>
      <c r="AA36" s="121"/>
      <c r="AB36" s="121">
        <f>Y36-Z36-AA36</f>
        <v>-1752279.9293572817</v>
      </c>
      <c r="AC36" s="122">
        <v>-30146751.472813446</v>
      </c>
      <c r="AD36" s="122">
        <f>AB36/J36/K36/9*M36</f>
        <v>-33496390.525348276</v>
      </c>
      <c r="AE36" s="122"/>
      <c r="AF36" s="123"/>
      <c r="AG36" s="124">
        <f t="shared" si="7"/>
        <v>-1752279.9293572817</v>
      </c>
      <c r="AH36" s="125">
        <f>AB36/J36/K36/8*M36</f>
        <v>-37683439.341016814</v>
      </c>
      <c r="AI36" s="126"/>
    </row>
    <row r="37" spans="1:35" s="75" customFormat="1" ht="25.5">
      <c r="A37" s="62">
        <f t="shared" si="8"/>
        <v>27</v>
      </c>
      <c r="B37" s="63" t="s">
        <v>83</v>
      </c>
      <c r="C37" s="64" t="s">
        <v>84</v>
      </c>
      <c r="D37" s="63" t="s">
        <v>40</v>
      </c>
      <c r="E37" s="63" t="s">
        <v>41</v>
      </c>
      <c r="F37" s="63"/>
      <c r="G37" s="63"/>
      <c r="H37" s="65">
        <v>43739</v>
      </c>
      <c r="I37" s="66">
        <v>10000000</v>
      </c>
      <c r="J37" s="67">
        <v>7.7499999999999999E-2</v>
      </c>
      <c r="K37" s="68">
        <v>0.9</v>
      </c>
      <c r="L37" s="69">
        <v>2</v>
      </c>
      <c r="M37" s="68">
        <v>12</v>
      </c>
      <c r="N37" s="69">
        <f t="shared" si="2"/>
        <v>116250</v>
      </c>
      <c r="O37" s="69">
        <f t="shared" si="3"/>
        <v>6066560.6589831896</v>
      </c>
      <c r="P37" s="69">
        <f t="shared" si="4"/>
        <v>70523.767660679572</v>
      </c>
      <c r="Q37" s="69">
        <f t="shared" si="5"/>
        <v>45726.232339320428</v>
      </c>
      <c r="R37" s="70">
        <v>0.606656065898319</v>
      </c>
      <c r="S37" s="69"/>
      <c r="T37" s="68"/>
      <c r="U37" s="69"/>
      <c r="V37" s="69">
        <f t="shared" si="1"/>
        <v>6066560.6589831896</v>
      </c>
      <c r="W37" s="69">
        <f t="shared" si="1"/>
        <v>70523.767660679572</v>
      </c>
      <c r="X37" s="71">
        <f t="shared" si="6"/>
        <v>6066560.6589831896</v>
      </c>
      <c r="Y37" s="71">
        <f t="shared" si="6"/>
        <v>70523.767660679572</v>
      </c>
      <c r="Z37" s="71"/>
      <c r="AA37" s="71"/>
      <c r="AB37" s="71">
        <f>Y37-Z37-AA37</f>
        <v>70523.767660679572</v>
      </c>
      <c r="AC37" s="72">
        <v>1213312.1317966378</v>
      </c>
      <c r="AD37" s="72">
        <f>AB37/J37/K37/9*M37</f>
        <v>1348124.5908851533</v>
      </c>
      <c r="AE37" s="72"/>
      <c r="AF37" s="73"/>
      <c r="AG37" s="73">
        <f t="shared" si="7"/>
        <v>70523.767660679572</v>
      </c>
      <c r="AH37" s="74">
        <f>AB37/J37/K37/8*M37</f>
        <v>1516640.1647457974</v>
      </c>
      <c r="AI37" s="74"/>
    </row>
    <row r="38" spans="1:35" s="155" customFormat="1" ht="25.5">
      <c r="A38" s="145">
        <f t="shared" si="8"/>
        <v>28</v>
      </c>
      <c r="B38" s="113" t="s">
        <v>85</v>
      </c>
      <c r="C38" s="146" t="s">
        <v>86</v>
      </c>
      <c r="D38" s="113" t="s">
        <v>40</v>
      </c>
      <c r="E38" s="113" t="s">
        <v>41</v>
      </c>
      <c r="F38" s="113"/>
      <c r="G38" s="113"/>
      <c r="H38" s="147">
        <v>43497</v>
      </c>
      <c r="I38" s="148">
        <v>1500000</v>
      </c>
      <c r="J38" s="149">
        <v>7.7499999999999999E-2</v>
      </c>
      <c r="K38" s="150">
        <v>0.9</v>
      </c>
      <c r="L38" s="120">
        <v>10</v>
      </c>
      <c r="M38" s="150">
        <v>12</v>
      </c>
      <c r="N38" s="120">
        <f t="shared" si="2"/>
        <v>87187.5</v>
      </c>
      <c r="O38" s="120">
        <f t="shared" si="3"/>
        <v>909984.09884747851</v>
      </c>
      <c r="P38" s="120">
        <f t="shared" si="4"/>
        <v>52892.825745509683</v>
      </c>
      <c r="Q38" s="120">
        <f t="shared" si="5"/>
        <v>34294.674254490317</v>
      </c>
      <c r="R38" s="151">
        <v>0.606656065898319</v>
      </c>
      <c r="S38" s="120"/>
      <c r="T38" s="150"/>
      <c r="U38" s="120"/>
      <c r="V38" s="120">
        <f t="shared" si="1"/>
        <v>909984.09884747851</v>
      </c>
      <c r="W38" s="120">
        <f t="shared" si="1"/>
        <v>52892.825745509683</v>
      </c>
      <c r="X38" s="152">
        <f t="shared" si="6"/>
        <v>909984.09884747851</v>
      </c>
      <c r="Y38" s="152">
        <f t="shared" si="6"/>
        <v>52892.825745509683</v>
      </c>
      <c r="Z38" s="152"/>
      <c r="AA38" s="152"/>
      <c r="AB38" s="152">
        <f>Y38-Z38-AA38-52892.83</f>
        <v>-4.2544903189991601E-3</v>
      </c>
      <c r="AC38" s="153">
        <v>909984.09884747851</v>
      </c>
      <c r="AD38" s="153">
        <f>AB38/J38/K38/9*M38</f>
        <v>-8.1328369299864464E-2</v>
      </c>
      <c r="AE38" s="153"/>
      <c r="AF38" s="124">
        <v>-52892.83</v>
      </c>
      <c r="AG38" s="124">
        <f t="shared" si="7"/>
        <v>-52892.834254490321</v>
      </c>
      <c r="AH38" s="125">
        <f>AB38/J38/K38/8*M38</f>
        <v>-9.1494415462347531E-2</v>
      </c>
      <c r="AI38" s="154"/>
    </row>
    <row r="39" spans="1:35" s="75" customFormat="1" ht="51">
      <c r="A39" s="62">
        <f t="shared" si="8"/>
        <v>29</v>
      </c>
      <c r="B39" s="63" t="s">
        <v>87</v>
      </c>
      <c r="C39" s="64" t="s">
        <v>88</v>
      </c>
      <c r="D39" s="63" t="s">
        <v>40</v>
      </c>
      <c r="E39" s="63" t="s">
        <v>41</v>
      </c>
      <c r="F39" s="63"/>
      <c r="G39" s="63"/>
      <c r="H39" s="65">
        <v>43586</v>
      </c>
      <c r="I39" s="66">
        <v>1000000</v>
      </c>
      <c r="J39" s="67">
        <v>7.7499999999999999E-2</v>
      </c>
      <c r="K39" s="68">
        <v>0.9</v>
      </c>
      <c r="L39" s="69">
        <v>7</v>
      </c>
      <c r="M39" s="68">
        <v>12</v>
      </c>
      <c r="N39" s="69">
        <f t="shared" si="2"/>
        <v>40687.5</v>
      </c>
      <c r="O39" s="69">
        <f t="shared" si="3"/>
        <v>606656.06589831901</v>
      </c>
      <c r="P39" s="69">
        <f t="shared" si="4"/>
        <v>24683.318681237855</v>
      </c>
      <c r="Q39" s="69">
        <f t="shared" si="5"/>
        <v>16004.181318762145</v>
      </c>
      <c r="R39" s="70">
        <v>0.606656065898319</v>
      </c>
      <c r="S39" s="69"/>
      <c r="T39" s="68"/>
      <c r="U39" s="69"/>
      <c r="V39" s="69">
        <f t="shared" si="1"/>
        <v>606656.06589831901</v>
      </c>
      <c r="W39" s="69">
        <f t="shared" si="1"/>
        <v>24683.318681237855</v>
      </c>
      <c r="X39" s="71">
        <f t="shared" si="6"/>
        <v>606656.06589831901</v>
      </c>
      <c r="Y39" s="71">
        <f t="shared" si="6"/>
        <v>24683.318681237855</v>
      </c>
      <c r="Z39" s="71"/>
      <c r="AA39" s="71"/>
      <c r="AB39" s="71">
        <f>Y39-Z39-AA39</f>
        <v>24683.318681237855</v>
      </c>
      <c r="AC39" s="72">
        <v>424659.24612882326</v>
      </c>
      <c r="AD39" s="72">
        <f>AB39/J39/K39/9*M39</f>
        <v>471843.60680980363</v>
      </c>
      <c r="AE39" s="72"/>
      <c r="AF39" s="73"/>
      <c r="AG39" s="73">
        <f t="shared" si="7"/>
        <v>24683.318681237855</v>
      </c>
      <c r="AH39" s="74">
        <f>AB39/J39/K39/8*M39</f>
        <v>530824.05766102916</v>
      </c>
      <c r="AI39" s="74"/>
    </row>
    <row r="40" spans="1:35" s="127" customFormat="1" ht="25.5">
      <c r="A40" s="110">
        <f t="shared" si="8"/>
        <v>30</v>
      </c>
      <c r="B40" s="111" t="s">
        <v>89</v>
      </c>
      <c r="C40" s="112" t="s">
        <v>90</v>
      </c>
      <c r="D40" s="111" t="s">
        <v>80</v>
      </c>
      <c r="E40" s="113" t="s">
        <v>41</v>
      </c>
      <c r="F40" s="111"/>
      <c r="G40" s="111"/>
      <c r="H40" s="114">
        <v>43497</v>
      </c>
      <c r="I40" s="115">
        <v>5000000</v>
      </c>
      <c r="J40" s="116">
        <v>7.7499999999999999E-2</v>
      </c>
      <c r="K40" s="117">
        <v>0.9</v>
      </c>
      <c r="L40" s="118">
        <v>10</v>
      </c>
      <c r="M40" s="117">
        <v>12</v>
      </c>
      <c r="N40" s="118">
        <f t="shared" si="2"/>
        <v>290625</v>
      </c>
      <c r="O40" s="118">
        <f t="shared" si="3"/>
        <v>3033280.3294915948</v>
      </c>
      <c r="P40" s="118">
        <f t="shared" si="4"/>
        <v>176309.41915169894</v>
      </c>
      <c r="Q40" s="118">
        <f t="shared" si="5"/>
        <v>114315.58084830106</v>
      </c>
      <c r="R40" s="119">
        <v>0.606656065898319</v>
      </c>
      <c r="S40" s="143">
        <v>32000000</v>
      </c>
      <c r="T40" s="142">
        <f>1860000-T41-T42-T43-T44</f>
        <v>802143.49</v>
      </c>
      <c r="U40" s="120">
        <f t="shared" ref="U40:U45" si="9">P40</f>
        <v>176309.41915169894</v>
      </c>
      <c r="V40" s="118">
        <f t="shared" si="1"/>
        <v>-28966719.670508407</v>
      </c>
      <c r="W40" s="118">
        <f t="shared" si="1"/>
        <v>-625834.07084830105</v>
      </c>
      <c r="X40" s="121">
        <f t="shared" si="6"/>
        <v>-28966719.670508407</v>
      </c>
      <c r="Y40" s="121">
        <f t="shared" si="6"/>
        <v>-625834.07084830105</v>
      </c>
      <c r="Z40" s="121"/>
      <c r="AA40" s="121"/>
      <c r="AB40" s="121">
        <f>Y40-Z40-AA40</f>
        <v>-625834.07084830105</v>
      </c>
      <c r="AC40" s="122">
        <v>-10767037.693558834</v>
      </c>
      <c r="AD40" s="122">
        <f>AB40/J40/K40/9*M40</f>
        <v>-11963375.308928097</v>
      </c>
      <c r="AE40" s="122"/>
      <c r="AF40" s="123"/>
      <c r="AG40" s="124">
        <f t="shared" si="7"/>
        <v>-625834.07084830105</v>
      </c>
      <c r="AH40" s="125">
        <f>AB40/J40/K40/8*M40</f>
        <v>-13458797.222544109</v>
      </c>
      <c r="AI40" s="126"/>
    </row>
    <row r="41" spans="1:35" s="127" customFormat="1" ht="25.5">
      <c r="A41" s="110">
        <f t="shared" si="8"/>
        <v>31</v>
      </c>
      <c r="B41" s="111" t="s">
        <v>89</v>
      </c>
      <c r="C41" s="112" t="s">
        <v>90</v>
      </c>
      <c r="D41" s="111" t="s">
        <v>40</v>
      </c>
      <c r="E41" s="113" t="s">
        <v>41</v>
      </c>
      <c r="F41" s="111"/>
      <c r="G41" s="111"/>
      <c r="H41" s="114">
        <v>43497</v>
      </c>
      <c r="I41" s="115">
        <v>15000000</v>
      </c>
      <c r="J41" s="116">
        <v>7.7499999999999999E-2</v>
      </c>
      <c r="K41" s="117">
        <v>0.9</v>
      </c>
      <c r="L41" s="118">
        <v>10</v>
      </c>
      <c r="M41" s="117">
        <v>12</v>
      </c>
      <c r="N41" s="118">
        <f t="shared" si="2"/>
        <v>871875</v>
      </c>
      <c r="O41" s="118">
        <f t="shared" si="3"/>
        <v>9099840.9884747844</v>
      </c>
      <c r="P41" s="118">
        <f t="shared" si="4"/>
        <v>528928.25745509693</v>
      </c>
      <c r="Q41" s="118">
        <f t="shared" si="5"/>
        <v>342946.74254490307</v>
      </c>
      <c r="R41" s="119">
        <v>0.606656065898319</v>
      </c>
      <c r="S41" s="118"/>
      <c r="T41" s="117">
        <v>528928.26</v>
      </c>
      <c r="U41" s="120">
        <f t="shared" si="9"/>
        <v>528928.25745509693</v>
      </c>
      <c r="V41" s="118">
        <f t="shared" si="1"/>
        <v>9099840.9884747844</v>
      </c>
      <c r="W41" s="118">
        <f t="shared" si="1"/>
        <v>-2.5449030799791217E-3</v>
      </c>
      <c r="X41" s="121">
        <f t="shared" si="6"/>
        <v>9099840.9884747844</v>
      </c>
      <c r="Y41" s="121">
        <f t="shared" si="6"/>
        <v>-2.5449030799791217E-3</v>
      </c>
      <c r="Z41" s="144"/>
      <c r="AA41" s="144"/>
      <c r="AB41" s="121">
        <f>Y41-Z41-AA41</f>
        <v>-2.5449030799791217E-3</v>
      </c>
      <c r="AC41" s="122">
        <v>0</v>
      </c>
      <c r="AD41" s="122">
        <f>AB41/J41/K41/9*M41</f>
        <v>-4.8648087550377472E-2</v>
      </c>
      <c r="AE41" s="122"/>
      <c r="AF41" s="123"/>
      <c r="AG41" s="124">
        <f t="shared" si="7"/>
        <v>-2.5449030799791217E-3</v>
      </c>
      <c r="AH41" s="125">
        <f>AB41/J41/K41/8*M41</f>
        <v>-5.4729098494174656E-2</v>
      </c>
      <c r="AI41" s="126"/>
    </row>
    <row r="42" spans="1:35" s="127" customFormat="1" ht="25.5">
      <c r="A42" s="110">
        <f t="shared" si="8"/>
        <v>32</v>
      </c>
      <c r="B42" s="111" t="s">
        <v>89</v>
      </c>
      <c r="C42" s="112" t="s">
        <v>90</v>
      </c>
      <c r="D42" s="111" t="s">
        <v>40</v>
      </c>
      <c r="E42" s="113" t="s">
        <v>41</v>
      </c>
      <c r="F42" s="111"/>
      <c r="G42" s="111"/>
      <c r="H42" s="114">
        <v>43525</v>
      </c>
      <c r="I42" s="115">
        <v>10000000</v>
      </c>
      <c r="J42" s="116">
        <v>7.7499999999999999E-2</v>
      </c>
      <c r="K42" s="117">
        <v>0.9</v>
      </c>
      <c r="L42" s="118">
        <v>9</v>
      </c>
      <c r="M42" s="117">
        <v>12</v>
      </c>
      <c r="N42" s="118">
        <f t="shared" si="2"/>
        <v>523125</v>
      </c>
      <c r="O42" s="118">
        <f t="shared" si="3"/>
        <v>6066560.6589831896</v>
      </c>
      <c r="P42" s="118">
        <f t="shared" si="4"/>
        <v>317356.95447305811</v>
      </c>
      <c r="Q42" s="118">
        <f t="shared" si="5"/>
        <v>205768.04552694189</v>
      </c>
      <c r="R42" s="119">
        <v>0.606656065898319</v>
      </c>
      <c r="S42" s="118"/>
      <c r="T42" s="117">
        <v>317356.95</v>
      </c>
      <c r="U42" s="120">
        <f t="shared" si="9"/>
        <v>317356.95447305811</v>
      </c>
      <c r="V42" s="118">
        <f t="shared" si="1"/>
        <v>6066560.6589831896</v>
      </c>
      <c r="W42" s="118">
        <f t="shared" si="1"/>
        <v>4.4730580993928015E-3</v>
      </c>
      <c r="X42" s="121">
        <f t="shared" si="6"/>
        <v>6066560.6589831896</v>
      </c>
      <c r="Y42" s="121">
        <f t="shared" si="6"/>
        <v>4.4730580993928015E-3</v>
      </c>
      <c r="Z42" s="144"/>
      <c r="AA42" s="144"/>
      <c r="AB42" s="121">
        <f>Y42-Z42-AA42</f>
        <v>4.4730580993928015E-3</v>
      </c>
      <c r="AC42" s="122">
        <v>0</v>
      </c>
      <c r="AD42" s="122">
        <f>AB42/J42/K42/9*M42</f>
        <v>8.5506486965692741E-2</v>
      </c>
      <c r="AE42" s="122"/>
      <c r="AF42" s="123"/>
      <c r="AG42" s="124">
        <f t="shared" si="7"/>
        <v>4.4730580993928015E-3</v>
      </c>
      <c r="AH42" s="154">
        <f>AB42/J42/K42/8*M42</f>
        <v>9.6194797836404333E-2</v>
      </c>
      <c r="AI42" s="126"/>
    </row>
    <row r="43" spans="1:35" s="127" customFormat="1" ht="25.5">
      <c r="A43" s="110">
        <f t="shared" si="8"/>
        <v>33</v>
      </c>
      <c r="B43" s="111" t="s">
        <v>89</v>
      </c>
      <c r="C43" s="112" t="s">
        <v>90</v>
      </c>
      <c r="D43" s="111" t="s">
        <v>40</v>
      </c>
      <c r="E43" s="113" t="s">
        <v>41</v>
      </c>
      <c r="F43" s="111"/>
      <c r="G43" s="111"/>
      <c r="H43" s="114">
        <v>43617</v>
      </c>
      <c r="I43" s="115">
        <v>5000000</v>
      </c>
      <c r="J43" s="116">
        <v>7.7499999999999999E-2</v>
      </c>
      <c r="K43" s="117">
        <v>0.9</v>
      </c>
      <c r="L43" s="118">
        <v>6</v>
      </c>
      <c r="M43" s="117">
        <v>12</v>
      </c>
      <c r="N43" s="118">
        <f t="shared" si="2"/>
        <v>174375</v>
      </c>
      <c r="O43" s="118">
        <f t="shared" si="3"/>
        <v>3033280.3294915948</v>
      </c>
      <c r="P43" s="118">
        <f t="shared" si="4"/>
        <v>105785.65149101937</v>
      </c>
      <c r="Q43" s="118">
        <f t="shared" si="5"/>
        <v>68589.348508980635</v>
      </c>
      <c r="R43" s="119">
        <v>0.606656065898319</v>
      </c>
      <c r="S43" s="118"/>
      <c r="T43" s="117">
        <v>105785.65</v>
      </c>
      <c r="U43" s="120">
        <f t="shared" si="9"/>
        <v>105785.65149101937</v>
      </c>
      <c r="V43" s="118">
        <f t="shared" si="1"/>
        <v>3033280.3294915948</v>
      </c>
      <c r="W43" s="118">
        <f t="shared" si="1"/>
        <v>1.4910193713149056E-3</v>
      </c>
      <c r="X43" s="121">
        <f t="shared" si="6"/>
        <v>3033280.3294915948</v>
      </c>
      <c r="Y43" s="121">
        <f t="shared" si="6"/>
        <v>1.4910193713149056E-3</v>
      </c>
      <c r="Z43" s="144"/>
      <c r="AA43" s="144"/>
      <c r="AB43" s="121">
        <f>Y43-Z43-AA43</f>
        <v>1.4910193713149056E-3</v>
      </c>
      <c r="AC43" s="122">
        <v>0</v>
      </c>
      <c r="AD43" s="122">
        <f>AB43/J43/K43/9*M43</f>
        <v>2.8502162414621855E-2</v>
      </c>
      <c r="AE43" s="122"/>
      <c r="AF43" s="123"/>
      <c r="AG43" s="124">
        <f t="shared" si="7"/>
        <v>1.4910193713149056E-3</v>
      </c>
      <c r="AH43" s="154">
        <f>AB43/J43/K43/8*M43</f>
        <v>3.2064932716449585E-2</v>
      </c>
      <c r="AI43" s="126"/>
    </row>
    <row r="44" spans="1:35" s="127" customFormat="1" ht="25.5">
      <c r="A44" s="110">
        <f t="shared" si="8"/>
        <v>34</v>
      </c>
      <c r="B44" s="111" t="s">
        <v>89</v>
      </c>
      <c r="C44" s="112" t="s">
        <v>90</v>
      </c>
      <c r="D44" s="111" t="s">
        <v>80</v>
      </c>
      <c r="E44" s="113" t="s">
        <v>41</v>
      </c>
      <c r="F44" s="111"/>
      <c r="G44" s="111"/>
      <c r="H44" s="114">
        <v>43617</v>
      </c>
      <c r="I44" s="115">
        <v>5000000</v>
      </c>
      <c r="J44" s="116">
        <v>7.7499999999999999E-2</v>
      </c>
      <c r="K44" s="117">
        <v>0.9</v>
      </c>
      <c r="L44" s="118">
        <v>6</v>
      </c>
      <c r="M44" s="117">
        <v>12</v>
      </c>
      <c r="N44" s="118">
        <f t="shared" si="2"/>
        <v>174375</v>
      </c>
      <c r="O44" s="118">
        <f t="shared" si="3"/>
        <v>3033280.3294915948</v>
      </c>
      <c r="P44" s="118">
        <f t="shared" si="4"/>
        <v>105785.65149101937</v>
      </c>
      <c r="Q44" s="118">
        <f t="shared" si="5"/>
        <v>68589.348508980635</v>
      </c>
      <c r="R44" s="119">
        <v>0.606656065898319</v>
      </c>
      <c r="S44" s="118"/>
      <c r="T44" s="117">
        <v>105785.65</v>
      </c>
      <c r="U44" s="120">
        <f t="shared" si="9"/>
        <v>105785.65149101937</v>
      </c>
      <c r="V44" s="118">
        <f t="shared" si="1"/>
        <v>3033280.3294915948</v>
      </c>
      <c r="W44" s="118">
        <f t="shared" si="1"/>
        <v>1.4910193713149056E-3</v>
      </c>
      <c r="X44" s="121">
        <f t="shared" si="6"/>
        <v>3033280.3294915948</v>
      </c>
      <c r="Y44" s="121">
        <f t="shared" si="6"/>
        <v>1.4910193713149056E-3</v>
      </c>
      <c r="Z44" s="144"/>
      <c r="AA44" s="144"/>
      <c r="AB44" s="121">
        <f>Y44-Z44-AA44</f>
        <v>1.4910193713149056E-3</v>
      </c>
      <c r="AC44" s="122">
        <v>0</v>
      </c>
      <c r="AD44" s="122">
        <f>AB44/J44/K44/9*M44</f>
        <v>2.8502162414621855E-2</v>
      </c>
      <c r="AE44" s="122"/>
      <c r="AF44" s="123"/>
      <c r="AG44" s="124">
        <f t="shared" si="7"/>
        <v>1.4910193713149056E-3</v>
      </c>
      <c r="AH44" s="154">
        <f>AB44/J44/K44/8*M44</f>
        <v>3.2064932716449585E-2</v>
      </c>
      <c r="AI44" s="126"/>
    </row>
    <row r="45" spans="1:35" s="127" customFormat="1" ht="25.5">
      <c r="A45" s="110">
        <f t="shared" si="8"/>
        <v>35</v>
      </c>
      <c r="B45" s="111" t="s">
        <v>91</v>
      </c>
      <c r="C45" s="112" t="s">
        <v>92</v>
      </c>
      <c r="D45" s="111" t="s">
        <v>40</v>
      </c>
      <c r="E45" s="113" t="s">
        <v>41</v>
      </c>
      <c r="F45" s="111"/>
      <c r="G45" s="111"/>
      <c r="H45" s="114">
        <v>43525</v>
      </c>
      <c r="I45" s="115">
        <v>15000000</v>
      </c>
      <c r="J45" s="116">
        <v>7.7499999999999999E-2</v>
      </c>
      <c r="K45" s="117">
        <v>0.9</v>
      </c>
      <c r="L45" s="118">
        <v>9</v>
      </c>
      <c r="M45" s="117">
        <v>12</v>
      </c>
      <c r="N45" s="118">
        <f t="shared" si="2"/>
        <v>784687.5</v>
      </c>
      <c r="O45" s="118">
        <f t="shared" si="3"/>
        <v>9099840.9884747844</v>
      </c>
      <c r="P45" s="118">
        <f t="shared" si="4"/>
        <v>476035.43170958717</v>
      </c>
      <c r="Q45" s="118">
        <f t="shared" si="5"/>
        <v>308652.06829041283</v>
      </c>
      <c r="R45" s="119">
        <v>0.606656065898319</v>
      </c>
      <c r="S45" s="143">
        <v>10000000</v>
      </c>
      <c r="T45" s="142">
        <v>581250</v>
      </c>
      <c r="U45" s="120">
        <f t="shared" si="9"/>
        <v>476035.43170958717</v>
      </c>
      <c r="V45" s="118">
        <f t="shared" si="1"/>
        <v>-900159.01152521558</v>
      </c>
      <c r="W45" s="118">
        <f t="shared" si="1"/>
        <v>-105214.56829041283</v>
      </c>
      <c r="X45" s="121">
        <f t="shared" si="6"/>
        <v>-900159.01152521558</v>
      </c>
      <c r="Y45" s="121">
        <f t="shared" si="6"/>
        <v>-105214.56829041283</v>
      </c>
      <c r="Z45" s="121"/>
      <c r="AA45" s="121"/>
      <c r="AB45" s="121">
        <f>Y45-Z45-AA45</f>
        <v>-105214.56829041283</v>
      </c>
      <c r="AC45" s="122">
        <v>-1810143.1103726937</v>
      </c>
      <c r="AD45" s="122">
        <f>AB45/J45/K45/9*M45</f>
        <v>-2011270.1226363266</v>
      </c>
      <c r="AE45" s="122"/>
      <c r="AF45" s="123"/>
      <c r="AG45" s="124">
        <f t="shared" si="7"/>
        <v>-105214.56829041283</v>
      </c>
      <c r="AH45" s="125">
        <f>AB45/J45/K45/8*M45</f>
        <v>-2262678.8879658673</v>
      </c>
      <c r="AI45" s="126"/>
    </row>
    <row r="46" spans="1:35" s="155" customFormat="1" ht="25.5">
      <c r="A46" s="145">
        <f t="shared" si="8"/>
        <v>36</v>
      </c>
      <c r="B46" s="113" t="s">
        <v>93</v>
      </c>
      <c r="C46" s="146" t="s">
        <v>94</v>
      </c>
      <c r="D46" s="113" t="s">
        <v>40</v>
      </c>
      <c r="E46" s="113" t="s">
        <v>41</v>
      </c>
      <c r="F46" s="113"/>
      <c r="G46" s="113"/>
      <c r="H46" s="147">
        <v>43497</v>
      </c>
      <c r="I46" s="148">
        <v>15000000</v>
      </c>
      <c r="J46" s="149">
        <v>7.7499999999999999E-2</v>
      </c>
      <c r="K46" s="150">
        <v>0.9</v>
      </c>
      <c r="L46" s="120">
        <v>10</v>
      </c>
      <c r="M46" s="150">
        <v>12</v>
      </c>
      <c r="N46" s="120">
        <f t="shared" si="2"/>
        <v>871875</v>
      </c>
      <c r="O46" s="120">
        <f t="shared" si="3"/>
        <v>9099840.9884747844</v>
      </c>
      <c r="P46" s="120">
        <f t="shared" si="4"/>
        <v>528928.25745509693</v>
      </c>
      <c r="Q46" s="120">
        <f t="shared" si="5"/>
        <v>342946.74254490307</v>
      </c>
      <c r="R46" s="151">
        <v>0.606656065898319</v>
      </c>
      <c r="S46" s="120"/>
      <c r="T46" s="150"/>
      <c r="U46" s="120"/>
      <c r="V46" s="120">
        <f t="shared" si="1"/>
        <v>9099840.9884747844</v>
      </c>
      <c r="W46" s="120">
        <f t="shared" si="1"/>
        <v>528928.25745509693</v>
      </c>
      <c r="X46" s="152">
        <f t="shared" si="6"/>
        <v>9099840.9884747844</v>
      </c>
      <c r="Y46" s="152">
        <f t="shared" si="6"/>
        <v>528928.25745509693</v>
      </c>
      <c r="Z46" s="152"/>
      <c r="AA46" s="152"/>
      <c r="AB46" s="152">
        <f>Y46-Z46-AA46-528928.26</f>
        <v>-2.5449030799791217E-3</v>
      </c>
      <c r="AC46" s="153">
        <v>9099840.9884747863</v>
      </c>
      <c r="AD46" s="153">
        <f>AB46/J46/K46/9*M46</f>
        <v>-4.8648087550377472E-2</v>
      </c>
      <c r="AE46" s="153"/>
      <c r="AF46" s="124">
        <v>-528928.26</v>
      </c>
      <c r="AG46" s="124">
        <f t="shared" si="7"/>
        <v>-528928.26254490309</v>
      </c>
      <c r="AH46" s="154">
        <f>AB46/J46/K46/8*M46</f>
        <v>-5.4729098494174656E-2</v>
      </c>
      <c r="AI46" s="154"/>
    </row>
    <row r="47" spans="1:35" s="127" customFormat="1" ht="25.5">
      <c r="A47" s="110">
        <f t="shared" si="8"/>
        <v>37</v>
      </c>
      <c r="B47" s="111" t="s">
        <v>95</v>
      </c>
      <c r="C47" s="112" t="s">
        <v>96</v>
      </c>
      <c r="D47" s="111" t="s">
        <v>40</v>
      </c>
      <c r="E47" s="113" t="s">
        <v>97</v>
      </c>
      <c r="F47" s="111"/>
      <c r="G47" s="111"/>
      <c r="H47" s="114">
        <v>43497</v>
      </c>
      <c r="I47" s="115">
        <v>18000000</v>
      </c>
      <c r="J47" s="116">
        <v>7.7499999999999999E-2</v>
      </c>
      <c r="K47" s="117">
        <v>0.9</v>
      </c>
      <c r="L47" s="118">
        <v>10</v>
      </c>
      <c r="M47" s="117">
        <v>12</v>
      </c>
      <c r="N47" s="118">
        <f t="shared" si="2"/>
        <v>1046250</v>
      </c>
      <c r="O47" s="118">
        <f t="shared" si="3"/>
        <v>10919809.186169742</v>
      </c>
      <c r="P47" s="118">
        <f t="shared" si="4"/>
        <v>634713.90894611611</v>
      </c>
      <c r="Q47" s="118">
        <f t="shared" si="5"/>
        <v>411536.09105388389</v>
      </c>
      <c r="R47" s="119">
        <v>0.606656065898319</v>
      </c>
      <c r="S47" s="118"/>
      <c r="T47" s="117"/>
      <c r="U47" s="120"/>
      <c r="V47" s="118">
        <f t="shared" si="1"/>
        <v>10919809.186169742</v>
      </c>
      <c r="W47" s="118">
        <f t="shared" si="1"/>
        <v>634713.90894611611</v>
      </c>
      <c r="X47" s="121">
        <f t="shared" si="6"/>
        <v>10919809.186169742</v>
      </c>
      <c r="Y47" s="121">
        <f t="shared" si="6"/>
        <v>634713.90894611611</v>
      </c>
      <c r="Z47" s="122">
        <f>719296.87-Z48</f>
        <v>634713.91</v>
      </c>
      <c r="AA47" s="122"/>
      <c r="AB47" s="121">
        <f>Y47-Z47-AA47</f>
        <v>-1.0538839269429445E-3</v>
      </c>
      <c r="AC47" s="122">
        <v>783.74432570487261</v>
      </c>
      <c r="AD47" s="122">
        <f>AB47/J47/K47/9*M47</f>
        <v>-2.0145929308347802E-2</v>
      </c>
      <c r="AE47" s="122"/>
      <c r="AF47" s="123"/>
      <c r="AG47" s="124">
        <f t="shared" si="7"/>
        <v>-1.0538839269429445E-3</v>
      </c>
      <c r="AH47" s="125">
        <f>AB47/J47/K47/8*M47</f>
        <v>-2.266417047189128E-2</v>
      </c>
      <c r="AI47" s="126"/>
    </row>
    <row r="48" spans="1:35" s="89" customFormat="1" ht="25.5">
      <c r="A48" s="76">
        <f t="shared" si="8"/>
        <v>38</v>
      </c>
      <c r="B48" s="77" t="s">
        <v>95</v>
      </c>
      <c r="C48" s="78" t="s">
        <v>96</v>
      </c>
      <c r="D48" s="77" t="s">
        <v>80</v>
      </c>
      <c r="E48" s="63"/>
      <c r="F48" s="77"/>
      <c r="G48" s="77"/>
      <c r="H48" s="79">
        <v>43739</v>
      </c>
      <c r="I48" s="80">
        <v>12000000</v>
      </c>
      <c r="J48" s="81">
        <v>7.7499999999999999E-2</v>
      </c>
      <c r="K48" s="82">
        <v>0.9</v>
      </c>
      <c r="L48" s="83">
        <v>2</v>
      </c>
      <c r="M48" s="82">
        <v>12</v>
      </c>
      <c r="N48" s="83">
        <f t="shared" si="2"/>
        <v>139500</v>
      </c>
      <c r="O48" s="83">
        <f t="shared" si="3"/>
        <v>7279872.7907798281</v>
      </c>
      <c r="P48" s="83">
        <f t="shared" si="4"/>
        <v>84628.521192815504</v>
      </c>
      <c r="Q48" s="83">
        <f t="shared" si="5"/>
        <v>54871.478807184496</v>
      </c>
      <c r="R48" s="84">
        <v>0.606656065898319</v>
      </c>
      <c r="S48" s="83"/>
      <c r="T48" s="82"/>
      <c r="U48" s="69"/>
      <c r="V48" s="83">
        <f t="shared" si="1"/>
        <v>7279872.7907798281</v>
      </c>
      <c r="W48" s="83">
        <f t="shared" si="1"/>
        <v>84628.521192815504</v>
      </c>
      <c r="X48" s="85">
        <f t="shared" si="6"/>
        <v>7279872.7907798281</v>
      </c>
      <c r="Y48" s="85">
        <f t="shared" si="6"/>
        <v>84628.521192815504</v>
      </c>
      <c r="Z48" s="86">
        <v>84582.96</v>
      </c>
      <c r="AA48" s="86"/>
      <c r="AB48" s="85">
        <f>Y48-Z48-AA48</f>
        <v>45.561192815497634</v>
      </c>
      <c r="AC48" s="86">
        <v>0</v>
      </c>
      <c r="AD48" s="86">
        <f>AB48/J48/K48/9*M48</f>
        <v>870.94275394021759</v>
      </c>
      <c r="AE48" s="86"/>
      <c r="AF48" s="87"/>
      <c r="AG48" s="73">
        <f t="shared" si="7"/>
        <v>45.561192815497634</v>
      </c>
      <c r="AH48" s="74">
        <f>AB48/J48/K48/8*M48</f>
        <v>979.8105981827448</v>
      </c>
      <c r="AI48" s="88"/>
    </row>
    <row r="49" spans="1:35" s="75" customFormat="1" ht="38.25">
      <c r="A49" s="62">
        <f t="shared" si="8"/>
        <v>39</v>
      </c>
      <c r="B49" s="63" t="s">
        <v>98</v>
      </c>
      <c r="C49" s="64" t="s">
        <v>99</v>
      </c>
      <c r="D49" s="63" t="s">
        <v>73</v>
      </c>
      <c r="E49" s="63" t="s">
        <v>41</v>
      </c>
      <c r="F49" s="63"/>
      <c r="G49" s="63"/>
      <c r="H49" s="65">
        <v>43497</v>
      </c>
      <c r="I49" s="66">
        <v>200000</v>
      </c>
      <c r="J49" s="67">
        <v>7.7499999999999999E-2</v>
      </c>
      <c r="K49" s="68">
        <v>0.9</v>
      </c>
      <c r="L49" s="69">
        <v>10</v>
      </c>
      <c r="M49" s="68">
        <v>12</v>
      </c>
      <c r="N49" s="69">
        <f t="shared" si="2"/>
        <v>11625</v>
      </c>
      <c r="O49" s="69">
        <f t="shared" si="3"/>
        <v>121331.2131796638</v>
      </c>
      <c r="P49" s="69">
        <f t="shared" si="4"/>
        <v>7052.3767660679587</v>
      </c>
      <c r="Q49" s="69">
        <f t="shared" si="5"/>
        <v>4572.6232339320413</v>
      </c>
      <c r="R49" s="70">
        <v>0.606656065898319</v>
      </c>
      <c r="S49" s="69"/>
      <c r="T49" s="68"/>
      <c r="U49" s="69"/>
      <c r="V49" s="69">
        <f t="shared" si="1"/>
        <v>121331.2131796638</v>
      </c>
      <c r="W49" s="69">
        <f t="shared" si="1"/>
        <v>7052.3767660679587</v>
      </c>
      <c r="X49" s="71">
        <f t="shared" si="6"/>
        <v>121331.2131796638</v>
      </c>
      <c r="Y49" s="71">
        <f t="shared" si="6"/>
        <v>7052.3767660679587</v>
      </c>
      <c r="Z49" s="72"/>
      <c r="AA49" s="72"/>
      <c r="AB49" s="71">
        <f>Y49-Z49-AA49</f>
        <v>7052.3767660679587</v>
      </c>
      <c r="AC49" s="72">
        <v>121331.21317966381</v>
      </c>
      <c r="AD49" s="72">
        <f>AB49/J49/K49/9*M49</f>
        <v>134812.45908851534</v>
      </c>
      <c r="AE49" s="72"/>
      <c r="AF49" s="73"/>
      <c r="AG49" s="73">
        <f t="shared" si="7"/>
        <v>7052.3767660679587</v>
      </c>
      <c r="AH49" s="74">
        <f>AB49/J49/K49/8*M49</f>
        <v>151664.01647457975</v>
      </c>
      <c r="AI49" s="74"/>
    </row>
    <row r="50" spans="1:35" s="127" customFormat="1" ht="38.25">
      <c r="A50" s="110"/>
      <c r="B50" s="111" t="s">
        <v>100</v>
      </c>
      <c r="C50" s="112" t="s">
        <v>101</v>
      </c>
      <c r="D50" s="111"/>
      <c r="E50" s="113" t="s">
        <v>41</v>
      </c>
      <c r="F50" s="111"/>
      <c r="G50" s="111"/>
      <c r="H50" s="114"/>
      <c r="I50" s="115"/>
      <c r="J50" s="116"/>
      <c r="K50" s="117"/>
      <c r="L50" s="118"/>
      <c r="M50" s="117"/>
      <c r="N50" s="118"/>
      <c r="O50" s="118"/>
      <c r="P50" s="118"/>
      <c r="Q50" s="118"/>
      <c r="R50" s="119"/>
      <c r="S50" s="118"/>
      <c r="T50" s="117"/>
      <c r="U50" s="120"/>
      <c r="V50" s="118"/>
      <c r="W50" s="118"/>
      <c r="X50" s="121">
        <f t="shared" si="6"/>
        <v>0</v>
      </c>
      <c r="Y50" s="121">
        <f t="shared" si="6"/>
        <v>0</v>
      </c>
      <c r="Z50" s="122"/>
      <c r="AA50" s="122">
        <v>6879.59</v>
      </c>
      <c r="AB50" s="137">
        <f>Y50-Z50-AA50</f>
        <v>-6879.59</v>
      </c>
      <c r="AC50" s="139">
        <v>-200000</v>
      </c>
      <c r="AD50" s="139">
        <f>AB50/7.75/0.9/9*12*100</f>
        <v>-131509.48626045402</v>
      </c>
      <c r="AE50" s="139"/>
      <c r="AF50" s="140"/>
      <c r="AG50" s="124">
        <f t="shared" si="7"/>
        <v>-6879.59</v>
      </c>
      <c r="AH50" s="139">
        <f>AB50/7.75/0.9/8*12*100</f>
        <v>-147948.17204301077</v>
      </c>
      <c r="AI50" s="126"/>
    </row>
    <row r="51" spans="1:35" s="75" customFormat="1" ht="25.5">
      <c r="A51" s="62">
        <f>A49+1</f>
        <v>40</v>
      </c>
      <c r="B51" s="63" t="s">
        <v>102</v>
      </c>
      <c r="C51" s="64" t="s">
        <v>103</v>
      </c>
      <c r="D51" s="63" t="s">
        <v>40</v>
      </c>
      <c r="E51" s="63" t="s">
        <v>41</v>
      </c>
      <c r="F51" s="63"/>
      <c r="G51" s="63"/>
      <c r="H51" s="65">
        <v>43525</v>
      </c>
      <c r="I51" s="66">
        <v>2000000</v>
      </c>
      <c r="J51" s="67">
        <v>7.7499999999999999E-2</v>
      </c>
      <c r="K51" s="68">
        <v>0.9</v>
      </c>
      <c r="L51" s="69">
        <v>9</v>
      </c>
      <c r="M51" s="68">
        <v>12</v>
      </c>
      <c r="N51" s="69">
        <f t="shared" si="2"/>
        <v>104625</v>
      </c>
      <c r="O51" s="69">
        <f t="shared" si="3"/>
        <v>1213312.131796638</v>
      </c>
      <c r="P51" s="69">
        <f t="shared" si="4"/>
        <v>63471.390894611628</v>
      </c>
      <c r="Q51" s="69">
        <f t="shared" si="5"/>
        <v>41153.609105388372</v>
      </c>
      <c r="R51" s="70">
        <v>0.606656065898319</v>
      </c>
      <c r="S51" s="69"/>
      <c r="T51" s="68"/>
      <c r="U51" s="69"/>
      <c r="V51" s="69">
        <f t="shared" ref="V51:W114" si="10">O51-S51</f>
        <v>1213312.131796638</v>
      </c>
      <c r="W51" s="69">
        <f t="shared" si="10"/>
        <v>63471.390894611628</v>
      </c>
      <c r="X51" s="71">
        <f t="shared" si="6"/>
        <v>1213312.131796638</v>
      </c>
      <c r="Y51" s="71">
        <f t="shared" si="6"/>
        <v>63471.390894611628</v>
      </c>
      <c r="Z51" s="72"/>
      <c r="AA51" s="72"/>
      <c r="AB51" s="71">
        <f>Y51-Z51-AA51</f>
        <v>63471.390894611628</v>
      </c>
      <c r="AC51" s="72">
        <v>1091980.9186169743</v>
      </c>
      <c r="AD51" s="72">
        <f>AB51/J51/K51/9*M51</f>
        <v>1213312.131796638</v>
      </c>
      <c r="AE51" s="72"/>
      <c r="AF51" s="73"/>
      <c r="AG51" s="73">
        <f t="shared" si="7"/>
        <v>63471.390894611628</v>
      </c>
      <c r="AH51" s="74">
        <f>AB51/J51/K51/8*M51</f>
        <v>1364976.1482712177</v>
      </c>
      <c r="AI51" s="74"/>
    </row>
    <row r="52" spans="1:35" s="75" customFormat="1" ht="25.5">
      <c r="A52" s="62">
        <f t="shared" si="8"/>
        <v>41</v>
      </c>
      <c r="B52" s="63" t="s">
        <v>104</v>
      </c>
      <c r="C52" s="64" t="s">
        <v>105</v>
      </c>
      <c r="D52" s="63" t="s">
        <v>40</v>
      </c>
      <c r="E52" s="63" t="s">
        <v>41</v>
      </c>
      <c r="F52" s="63"/>
      <c r="G52" s="63"/>
      <c r="H52" s="65">
        <v>43497</v>
      </c>
      <c r="I52" s="66">
        <v>10000000</v>
      </c>
      <c r="J52" s="67">
        <v>7.7499999999999999E-2</v>
      </c>
      <c r="K52" s="68">
        <v>0.9</v>
      </c>
      <c r="L52" s="69">
        <v>10</v>
      </c>
      <c r="M52" s="68">
        <v>12</v>
      </c>
      <c r="N52" s="69">
        <f t="shared" si="2"/>
        <v>581250</v>
      </c>
      <c r="O52" s="69">
        <f t="shared" si="3"/>
        <v>6066560.6589831896</v>
      </c>
      <c r="P52" s="69">
        <f t="shared" si="4"/>
        <v>352618.83830339788</v>
      </c>
      <c r="Q52" s="69">
        <f t="shared" si="5"/>
        <v>228631.16169660212</v>
      </c>
      <c r="R52" s="70">
        <v>0.606656065898319</v>
      </c>
      <c r="S52" s="69"/>
      <c r="T52" s="68"/>
      <c r="U52" s="69"/>
      <c r="V52" s="69">
        <f t="shared" si="10"/>
        <v>6066560.6589831896</v>
      </c>
      <c r="W52" s="69">
        <f t="shared" si="10"/>
        <v>352618.83830339788</v>
      </c>
      <c r="X52" s="71">
        <f t="shared" si="6"/>
        <v>6066560.6589831896</v>
      </c>
      <c r="Y52" s="71">
        <f t="shared" si="6"/>
        <v>352618.83830339788</v>
      </c>
      <c r="Z52" s="72"/>
      <c r="AA52" s="72"/>
      <c r="AB52" s="71">
        <f>Y52-Z52-AA52</f>
        <v>352618.83830339788</v>
      </c>
      <c r="AC52" s="72">
        <v>6066560.6589831896</v>
      </c>
      <c r="AD52" s="72">
        <f>AB52/J52/K52/9*M52</f>
        <v>6740622.9544257652</v>
      </c>
      <c r="AE52" s="72"/>
      <c r="AF52" s="73"/>
      <c r="AG52" s="73">
        <f t="shared" si="7"/>
        <v>352618.83830339788</v>
      </c>
      <c r="AH52" s="74">
        <f>AB52/J52/K52/8*M52</f>
        <v>7583200.8237289861</v>
      </c>
      <c r="AI52" s="74"/>
    </row>
    <row r="53" spans="1:35" s="75" customFormat="1" ht="25.5">
      <c r="A53" s="62">
        <f t="shared" si="8"/>
        <v>42</v>
      </c>
      <c r="B53" s="63" t="s">
        <v>106</v>
      </c>
      <c r="C53" s="64" t="s">
        <v>107</v>
      </c>
      <c r="D53" s="63" t="s">
        <v>40</v>
      </c>
      <c r="E53" s="63" t="s">
        <v>41</v>
      </c>
      <c r="F53" s="63"/>
      <c r="G53" s="63"/>
      <c r="H53" s="65">
        <v>43525</v>
      </c>
      <c r="I53" s="66">
        <v>2000000</v>
      </c>
      <c r="J53" s="67">
        <v>7.7499999999999999E-2</v>
      </c>
      <c r="K53" s="68">
        <v>0.9</v>
      </c>
      <c r="L53" s="69">
        <v>9</v>
      </c>
      <c r="M53" s="68">
        <v>12</v>
      </c>
      <c r="N53" s="69">
        <f t="shared" si="2"/>
        <v>104625</v>
      </c>
      <c r="O53" s="69">
        <f t="shared" si="3"/>
        <v>1213312.131796638</v>
      </c>
      <c r="P53" s="69">
        <f t="shared" si="4"/>
        <v>63471.390894611628</v>
      </c>
      <c r="Q53" s="69">
        <f t="shared" si="5"/>
        <v>41153.609105388372</v>
      </c>
      <c r="R53" s="70">
        <v>0.606656065898319</v>
      </c>
      <c r="S53" s="69"/>
      <c r="T53" s="68"/>
      <c r="U53" s="69"/>
      <c r="V53" s="69">
        <f t="shared" si="10"/>
        <v>1213312.131796638</v>
      </c>
      <c r="W53" s="69">
        <f t="shared" si="10"/>
        <v>63471.390894611628</v>
      </c>
      <c r="X53" s="71">
        <f t="shared" si="6"/>
        <v>1213312.131796638</v>
      </c>
      <c r="Y53" s="71">
        <f t="shared" si="6"/>
        <v>63471.390894611628</v>
      </c>
      <c r="Z53" s="72"/>
      <c r="AA53" s="72"/>
      <c r="AB53" s="71">
        <f>Y53-Z53-AA53</f>
        <v>63471.390894611628</v>
      </c>
      <c r="AC53" s="72">
        <v>1091980.9186169743</v>
      </c>
      <c r="AD53" s="72">
        <f>AB53/J53/K53/9*M53</f>
        <v>1213312.131796638</v>
      </c>
      <c r="AE53" s="72"/>
      <c r="AF53" s="73"/>
      <c r="AG53" s="73">
        <f t="shared" si="7"/>
        <v>63471.390894611628</v>
      </c>
      <c r="AH53" s="74">
        <f>AB53/J53/K53/8*M53</f>
        <v>1364976.1482712177</v>
      </c>
      <c r="AI53" s="74"/>
    </row>
    <row r="54" spans="1:35" s="127" customFormat="1" ht="25.5">
      <c r="A54" s="110">
        <f t="shared" si="8"/>
        <v>43</v>
      </c>
      <c r="B54" s="111" t="s">
        <v>108</v>
      </c>
      <c r="C54" s="112" t="s">
        <v>109</v>
      </c>
      <c r="D54" s="111" t="s">
        <v>80</v>
      </c>
      <c r="E54" s="113" t="s">
        <v>97</v>
      </c>
      <c r="F54" s="111"/>
      <c r="G54" s="111"/>
      <c r="H54" s="114">
        <v>43497</v>
      </c>
      <c r="I54" s="115">
        <v>10000000</v>
      </c>
      <c r="J54" s="116">
        <v>7.7499999999999999E-2</v>
      </c>
      <c r="K54" s="117">
        <v>0.9</v>
      </c>
      <c r="L54" s="118">
        <v>10</v>
      </c>
      <c r="M54" s="117">
        <v>12</v>
      </c>
      <c r="N54" s="118">
        <f t="shared" si="2"/>
        <v>581250</v>
      </c>
      <c r="O54" s="118">
        <f t="shared" si="3"/>
        <v>6066560.6589831896</v>
      </c>
      <c r="P54" s="118">
        <f t="shared" si="4"/>
        <v>352618.83830339788</v>
      </c>
      <c r="Q54" s="118">
        <f t="shared" si="5"/>
        <v>228631.16169660212</v>
      </c>
      <c r="R54" s="119">
        <v>0.606656065898319</v>
      </c>
      <c r="S54" s="118"/>
      <c r="T54" s="117"/>
      <c r="U54" s="120"/>
      <c r="V54" s="118">
        <f t="shared" si="10"/>
        <v>6066560.6589831896</v>
      </c>
      <c r="W54" s="118">
        <f t="shared" si="10"/>
        <v>352618.83830339788</v>
      </c>
      <c r="X54" s="121">
        <f t="shared" si="6"/>
        <v>6066560.6589831896</v>
      </c>
      <c r="Y54" s="121">
        <f t="shared" si="6"/>
        <v>352618.83830339788</v>
      </c>
      <c r="Z54" s="122">
        <f>1332893.84-Z55-Z56-Z57-Z58</f>
        <v>352618.84000000008</v>
      </c>
      <c r="AA54" s="122"/>
      <c r="AB54" s="121">
        <f>Y54-Z54-AA54</f>
        <v>-1.6966022085398436E-3</v>
      </c>
      <c r="AC54" s="122">
        <v>8366083.6244075373</v>
      </c>
      <c r="AD54" s="122">
        <f>AB54/J54/K54/9*M54</f>
        <v>-3.2432061334094979E-2</v>
      </c>
      <c r="AE54" s="122"/>
      <c r="AF54" s="123"/>
      <c r="AG54" s="124">
        <f t="shared" si="7"/>
        <v>-1.6966022085398436E-3</v>
      </c>
      <c r="AH54" s="125">
        <f>AB54/J54/K54/8*M54</f>
        <v>-3.6486069000856852E-2</v>
      </c>
      <c r="AI54" s="126"/>
    </row>
    <row r="55" spans="1:35" s="127" customFormat="1" ht="25.5">
      <c r="A55" s="110">
        <f t="shared" si="8"/>
        <v>44</v>
      </c>
      <c r="B55" s="111" t="s">
        <v>108</v>
      </c>
      <c r="C55" s="112" t="s">
        <v>109</v>
      </c>
      <c r="D55" s="111" t="s">
        <v>80</v>
      </c>
      <c r="E55" s="113" t="s">
        <v>97</v>
      </c>
      <c r="F55" s="111"/>
      <c r="G55" s="111"/>
      <c r="H55" s="114">
        <v>43525</v>
      </c>
      <c r="I55" s="115">
        <v>10000000</v>
      </c>
      <c r="J55" s="116">
        <v>7.7499999999999999E-2</v>
      </c>
      <c r="K55" s="117">
        <v>0.9</v>
      </c>
      <c r="L55" s="118">
        <v>9</v>
      </c>
      <c r="M55" s="117">
        <v>12</v>
      </c>
      <c r="N55" s="118">
        <f t="shared" si="2"/>
        <v>523125</v>
      </c>
      <c r="O55" s="118">
        <f t="shared" si="3"/>
        <v>6066560.6589831896</v>
      </c>
      <c r="P55" s="118">
        <f t="shared" si="4"/>
        <v>317356.95447305811</v>
      </c>
      <c r="Q55" s="118">
        <f t="shared" si="5"/>
        <v>205768.04552694189</v>
      </c>
      <c r="R55" s="119">
        <v>0.606656065898319</v>
      </c>
      <c r="S55" s="118"/>
      <c r="T55" s="117"/>
      <c r="U55" s="120"/>
      <c r="V55" s="118">
        <f t="shared" si="10"/>
        <v>6066560.6589831896</v>
      </c>
      <c r="W55" s="118">
        <f t="shared" si="10"/>
        <v>317356.95447305811</v>
      </c>
      <c r="X55" s="121">
        <f t="shared" si="6"/>
        <v>6066560.6589831896</v>
      </c>
      <c r="Y55" s="121">
        <f t="shared" si="6"/>
        <v>317356.95447305811</v>
      </c>
      <c r="Z55" s="144">
        <v>317356.95</v>
      </c>
      <c r="AA55" s="144"/>
      <c r="AB55" s="121">
        <f>Y55-Z55-AA55</f>
        <v>4.4730580993928015E-3</v>
      </c>
      <c r="AC55" s="122">
        <v>0</v>
      </c>
      <c r="AD55" s="122">
        <f>AB55/J55/K55/9*M55</f>
        <v>8.5506486965692741E-2</v>
      </c>
      <c r="AE55" s="122"/>
      <c r="AF55" s="123"/>
      <c r="AG55" s="124">
        <f t="shared" si="7"/>
        <v>4.4730580993928015E-3</v>
      </c>
      <c r="AH55" s="154">
        <f>AB55/J55/K55/8*M55</f>
        <v>9.6194797836404333E-2</v>
      </c>
      <c r="AI55" s="126"/>
    </row>
    <row r="56" spans="1:35" s="127" customFormat="1" ht="25.5">
      <c r="A56" s="110">
        <f t="shared" si="8"/>
        <v>45</v>
      </c>
      <c r="B56" s="111" t="s">
        <v>110</v>
      </c>
      <c r="C56" s="112" t="s">
        <v>109</v>
      </c>
      <c r="D56" s="111" t="s">
        <v>80</v>
      </c>
      <c r="E56" s="113" t="s">
        <v>97</v>
      </c>
      <c r="F56" s="111"/>
      <c r="G56" s="111"/>
      <c r="H56" s="114">
        <v>43556</v>
      </c>
      <c r="I56" s="115">
        <v>10000000</v>
      </c>
      <c r="J56" s="116">
        <v>7.7499999999999999E-2</v>
      </c>
      <c r="K56" s="117">
        <v>0.9</v>
      </c>
      <c r="L56" s="118">
        <v>8</v>
      </c>
      <c r="M56" s="117">
        <v>12</v>
      </c>
      <c r="N56" s="118">
        <f t="shared" si="2"/>
        <v>465000</v>
      </c>
      <c r="O56" s="118">
        <f t="shared" si="3"/>
        <v>6066560.6589831896</v>
      </c>
      <c r="P56" s="118">
        <f t="shared" si="4"/>
        <v>282095.07064271829</v>
      </c>
      <c r="Q56" s="118">
        <f t="shared" si="5"/>
        <v>182904.92935728171</v>
      </c>
      <c r="R56" s="119">
        <v>0.606656065898319</v>
      </c>
      <c r="S56" s="118"/>
      <c r="T56" s="117"/>
      <c r="U56" s="120"/>
      <c r="V56" s="118">
        <f t="shared" si="10"/>
        <v>6066560.6589831896</v>
      </c>
      <c r="W56" s="118">
        <f t="shared" si="10"/>
        <v>282095.07064271829</v>
      </c>
      <c r="X56" s="121">
        <f t="shared" si="6"/>
        <v>6066560.6589831896</v>
      </c>
      <c r="Y56" s="121">
        <f t="shared" si="6"/>
        <v>282095.07064271829</v>
      </c>
      <c r="Z56" s="144">
        <v>282095.07</v>
      </c>
      <c r="AA56" s="144"/>
      <c r="AB56" s="121">
        <f>Y56-Z56-AA56</f>
        <v>6.4271828159689903E-4</v>
      </c>
      <c r="AC56" s="122">
        <v>0</v>
      </c>
      <c r="AD56" s="122">
        <f>AB56/J56/K56/9*M56</f>
        <v>1.2286132025747173E-2</v>
      </c>
      <c r="AE56" s="122"/>
      <c r="AF56" s="123"/>
      <c r="AG56" s="124">
        <f t="shared" si="7"/>
        <v>6.4271828159689903E-4</v>
      </c>
      <c r="AH56" s="154">
        <f>AB56/J56/K56/8*M56</f>
        <v>1.382189852896557E-2</v>
      </c>
      <c r="AI56" s="126"/>
    </row>
    <row r="57" spans="1:35" s="127" customFormat="1" ht="25.5">
      <c r="A57" s="110">
        <f t="shared" si="8"/>
        <v>46</v>
      </c>
      <c r="B57" s="111" t="s">
        <v>110</v>
      </c>
      <c r="C57" s="112" t="s">
        <v>109</v>
      </c>
      <c r="D57" s="111" t="s">
        <v>80</v>
      </c>
      <c r="E57" s="113" t="s">
        <v>97</v>
      </c>
      <c r="F57" s="111"/>
      <c r="G57" s="111"/>
      <c r="H57" s="114">
        <v>43586</v>
      </c>
      <c r="I57" s="115">
        <v>10000000</v>
      </c>
      <c r="J57" s="116">
        <v>7.7499999999999999E-2</v>
      </c>
      <c r="K57" s="117">
        <v>0.9</v>
      </c>
      <c r="L57" s="118">
        <v>7</v>
      </c>
      <c r="M57" s="117">
        <v>12</v>
      </c>
      <c r="N57" s="118">
        <f t="shared" si="2"/>
        <v>406875</v>
      </c>
      <c r="O57" s="118">
        <f t="shared" si="3"/>
        <v>6066560.6589831896</v>
      </c>
      <c r="P57" s="118">
        <f t="shared" si="4"/>
        <v>246833.1868123785</v>
      </c>
      <c r="Q57" s="118">
        <f t="shared" si="5"/>
        <v>160041.8131876215</v>
      </c>
      <c r="R57" s="119">
        <v>0.606656065898319</v>
      </c>
      <c r="S57" s="118"/>
      <c r="T57" s="117"/>
      <c r="U57" s="120"/>
      <c r="V57" s="118">
        <f t="shared" si="10"/>
        <v>6066560.6589831896</v>
      </c>
      <c r="W57" s="118">
        <f t="shared" si="10"/>
        <v>246833.1868123785</v>
      </c>
      <c r="X57" s="121">
        <f t="shared" si="6"/>
        <v>6066560.6589831896</v>
      </c>
      <c r="Y57" s="121">
        <f t="shared" si="6"/>
        <v>246833.1868123785</v>
      </c>
      <c r="Z57" s="144">
        <v>246833.19</v>
      </c>
      <c r="AA57" s="144"/>
      <c r="AB57" s="121">
        <f>Y57-Z57-AA57</f>
        <v>-3.187621507095173E-3</v>
      </c>
      <c r="AC57" s="122">
        <v>0</v>
      </c>
      <c r="AD57" s="122">
        <f>AB57/J57/K57/9*M57</f>
        <v>-6.0934222357852771E-2</v>
      </c>
      <c r="AE57" s="122"/>
      <c r="AF57" s="123"/>
      <c r="AG57" s="124">
        <f t="shared" si="7"/>
        <v>-3.187621507095173E-3</v>
      </c>
      <c r="AH57" s="125">
        <f>AB57/J57/K57/8*M57</f>
        <v>-6.8551000152584363E-2</v>
      </c>
      <c r="AI57" s="126"/>
    </row>
    <row r="58" spans="1:35" s="75" customFormat="1" ht="25.5">
      <c r="A58" s="62">
        <f t="shared" si="8"/>
        <v>47</v>
      </c>
      <c r="B58" s="63" t="s">
        <v>110</v>
      </c>
      <c r="C58" s="64" t="s">
        <v>109</v>
      </c>
      <c r="D58" s="63" t="s">
        <v>80</v>
      </c>
      <c r="E58" s="63" t="s">
        <v>97</v>
      </c>
      <c r="F58" s="63"/>
      <c r="G58" s="63"/>
      <c r="H58" s="65">
        <v>43617</v>
      </c>
      <c r="I58" s="66">
        <v>10000000</v>
      </c>
      <c r="J58" s="67">
        <v>7.7499999999999999E-2</v>
      </c>
      <c r="K58" s="68">
        <v>0.9</v>
      </c>
      <c r="L58" s="69">
        <v>6</v>
      </c>
      <c r="M58" s="68">
        <v>12</v>
      </c>
      <c r="N58" s="69">
        <f t="shared" si="2"/>
        <v>348750</v>
      </c>
      <c r="O58" s="69">
        <f t="shared" si="3"/>
        <v>6066560.6589831896</v>
      </c>
      <c r="P58" s="69">
        <f t="shared" si="4"/>
        <v>211571.30298203873</v>
      </c>
      <c r="Q58" s="69">
        <f t="shared" si="5"/>
        <v>137178.69701796127</v>
      </c>
      <c r="R58" s="70">
        <v>0.606656065898319</v>
      </c>
      <c r="S58" s="69"/>
      <c r="T58" s="68"/>
      <c r="U58" s="69"/>
      <c r="V58" s="69">
        <f t="shared" si="10"/>
        <v>6066560.6589831896</v>
      </c>
      <c r="W58" s="69">
        <f t="shared" si="10"/>
        <v>211571.30298203873</v>
      </c>
      <c r="X58" s="71">
        <f t="shared" si="6"/>
        <v>6066560.6589831896</v>
      </c>
      <c r="Y58" s="71">
        <f t="shared" si="6"/>
        <v>211571.30298203873</v>
      </c>
      <c r="Z58" s="90">
        <f>211571.3-77581.51</f>
        <v>133989.78999999998</v>
      </c>
      <c r="AA58" s="90"/>
      <c r="AB58" s="71">
        <f>Y58-Z58-AA58</f>
        <v>77581.512982038752</v>
      </c>
      <c r="AC58" s="72">
        <v>0</v>
      </c>
      <c r="AD58" s="72">
        <f>AB58/J58/K58/9*M58</f>
        <v>1483039.6746865236</v>
      </c>
      <c r="AE58" s="72"/>
      <c r="AF58" s="73"/>
      <c r="AG58" s="73">
        <f t="shared" si="7"/>
        <v>77581.512982038752</v>
      </c>
      <c r="AH58" s="74">
        <f>AB58/J58/K58/8*M58</f>
        <v>1668419.6340223388</v>
      </c>
      <c r="AI58" s="74"/>
    </row>
    <row r="59" spans="1:35" s="75" customFormat="1" ht="25.5">
      <c r="A59" s="62">
        <f t="shared" si="8"/>
        <v>48</v>
      </c>
      <c r="B59" s="63" t="s">
        <v>110</v>
      </c>
      <c r="C59" s="64" t="s">
        <v>109</v>
      </c>
      <c r="D59" s="63" t="s">
        <v>80</v>
      </c>
      <c r="E59" s="63" t="s">
        <v>97</v>
      </c>
      <c r="F59" s="63"/>
      <c r="G59" s="63"/>
      <c r="H59" s="65">
        <v>43647</v>
      </c>
      <c r="I59" s="66">
        <v>10000000</v>
      </c>
      <c r="J59" s="67">
        <v>7.7499999999999999E-2</v>
      </c>
      <c r="K59" s="68">
        <v>0.9</v>
      </c>
      <c r="L59" s="69">
        <v>5</v>
      </c>
      <c r="M59" s="68">
        <v>12</v>
      </c>
      <c r="N59" s="69">
        <f t="shared" si="2"/>
        <v>290625</v>
      </c>
      <c r="O59" s="69">
        <f t="shared" si="3"/>
        <v>6066560.6589831896</v>
      </c>
      <c r="P59" s="69">
        <f t="shared" si="4"/>
        <v>176309.41915169894</v>
      </c>
      <c r="Q59" s="69">
        <f t="shared" si="5"/>
        <v>114315.58084830106</v>
      </c>
      <c r="R59" s="70">
        <v>0.606656065898319</v>
      </c>
      <c r="S59" s="69"/>
      <c r="T59" s="68"/>
      <c r="U59" s="69"/>
      <c r="V59" s="69">
        <f t="shared" si="10"/>
        <v>6066560.6589831896</v>
      </c>
      <c r="W59" s="69">
        <f t="shared" si="10"/>
        <v>176309.41915169894</v>
      </c>
      <c r="X59" s="71">
        <f t="shared" si="6"/>
        <v>6066560.6589831896</v>
      </c>
      <c r="Y59" s="71">
        <f t="shared" si="6"/>
        <v>176309.41915169894</v>
      </c>
      <c r="Z59" s="90"/>
      <c r="AA59" s="90"/>
      <c r="AB59" s="71">
        <f>Y59-Z59-AA59</f>
        <v>176309.41915169894</v>
      </c>
      <c r="AC59" s="72">
        <v>0</v>
      </c>
      <c r="AD59" s="72">
        <f>AB59/J59/K59/9*M59</f>
        <v>3370311.4772128826</v>
      </c>
      <c r="AE59" s="72"/>
      <c r="AF59" s="73"/>
      <c r="AG59" s="73">
        <f t="shared" si="7"/>
        <v>176309.41915169894</v>
      </c>
      <c r="AH59" s="74">
        <f>AB59/J59/K59/8*M59</f>
        <v>3791600.411864493</v>
      </c>
      <c r="AI59" s="74"/>
    </row>
    <row r="60" spans="1:35" s="75" customFormat="1" ht="25.5">
      <c r="A60" s="62">
        <f t="shared" si="8"/>
        <v>49</v>
      </c>
      <c r="B60" s="63" t="s">
        <v>110</v>
      </c>
      <c r="C60" s="64" t="s">
        <v>109</v>
      </c>
      <c r="D60" s="63" t="s">
        <v>80</v>
      </c>
      <c r="E60" s="63" t="s">
        <v>97</v>
      </c>
      <c r="F60" s="63"/>
      <c r="G60" s="63"/>
      <c r="H60" s="65">
        <v>43678</v>
      </c>
      <c r="I60" s="66">
        <v>10000000</v>
      </c>
      <c r="J60" s="67">
        <v>7.7499999999999999E-2</v>
      </c>
      <c r="K60" s="68">
        <v>0.9</v>
      </c>
      <c r="L60" s="69">
        <v>4</v>
      </c>
      <c r="M60" s="68">
        <v>12</v>
      </c>
      <c r="N60" s="69">
        <f t="shared" si="2"/>
        <v>232500</v>
      </c>
      <c r="O60" s="69">
        <f t="shared" si="3"/>
        <v>6066560.6589831896</v>
      </c>
      <c r="P60" s="69">
        <f t="shared" si="4"/>
        <v>141047.53532135914</v>
      </c>
      <c r="Q60" s="69">
        <f t="shared" si="5"/>
        <v>91452.464678640856</v>
      </c>
      <c r="R60" s="70">
        <v>0.606656065898319</v>
      </c>
      <c r="S60" s="69"/>
      <c r="T60" s="68"/>
      <c r="U60" s="69"/>
      <c r="V60" s="69">
        <f t="shared" si="10"/>
        <v>6066560.6589831896</v>
      </c>
      <c r="W60" s="69">
        <f t="shared" si="10"/>
        <v>141047.53532135914</v>
      </c>
      <c r="X60" s="71">
        <f t="shared" si="6"/>
        <v>6066560.6589831896</v>
      </c>
      <c r="Y60" s="71">
        <f t="shared" si="6"/>
        <v>141047.53532135914</v>
      </c>
      <c r="Z60" s="90"/>
      <c r="AA60" s="90"/>
      <c r="AB60" s="71">
        <f>Y60-Z60-AA60</f>
        <v>141047.53532135914</v>
      </c>
      <c r="AC60" s="72">
        <v>0</v>
      </c>
      <c r="AD60" s="72">
        <f>AB60/J60/K60/9*M60</f>
        <v>2696249.1817703065</v>
      </c>
      <c r="AE60" s="72"/>
      <c r="AF60" s="73"/>
      <c r="AG60" s="73">
        <f t="shared" si="7"/>
        <v>141047.53532135914</v>
      </c>
      <c r="AH60" s="74">
        <f>AB60/J60/K60/8*M60</f>
        <v>3033280.3294915948</v>
      </c>
      <c r="AI60" s="74"/>
    </row>
    <row r="61" spans="1:35" s="75" customFormat="1" ht="25.5">
      <c r="A61" s="62">
        <f t="shared" si="8"/>
        <v>50</v>
      </c>
      <c r="B61" s="63" t="s">
        <v>110</v>
      </c>
      <c r="C61" s="64" t="s">
        <v>109</v>
      </c>
      <c r="D61" s="63" t="s">
        <v>80</v>
      </c>
      <c r="E61" s="63" t="s">
        <v>97</v>
      </c>
      <c r="F61" s="63"/>
      <c r="G61" s="63"/>
      <c r="H61" s="65">
        <v>43709</v>
      </c>
      <c r="I61" s="66">
        <v>10000000</v>
      </c>
      <c r="J61" s="67">
        <v>7.7499999999999999E-2</v>
      </c>
      <c r="K61" s="68">
        <v>0.9</v>
      </c>
      <c r="L61" s="69">
        <v>3</v>
      </c>
      <c r="M61" s="68">
        <v>12</v>
      </c>
      <c r="N61" s="69">
        <f t="shared" si="2"/>
        <v>174375</v>
      </c>
      <c r="O61" s="69">
        <f t="shared" si="3"/>
        <v>6066560.6589831896</v>
      </c>
      <c r="P61" s="69">
        <f t="shared" si="4"/>
        <v>105785.65149101937</v>
      </c>
      <c r="Q61" s="69">
        <f t="shared" si="5"/>
        <v>68589.348508980635</v>
      </c>
      <c r="R61" s="70">
        <v>0.606656065898319</v>
      </c>
      <c r="S61" s="69"/>
      <c r="T61" s="68"/>
      <c r="U61" s="69"/>
      <c r="V61" s="69">
        <f t="shared" si="10"/>
        <v>6066560.6589831896</v>
      </c>
      <c r="W61" s="69">
        <f t="shared" si="10"/>
        <v>105785.65149101937</v>
      </c>
      <c r="X61" s="71">
        <f t="shared" si="6"/>
        <v>6066560.6589831896</v>
      </c>
      <c r="Y61" s="71">
        <f t="shared" si="6"/>
        <v>105785.65149101937</v>
      </c>
      <c r="Z61" s="90"/>
      <c r="AA61" s="90"/>
      <c r="AB61" s="71">
        <f>Y61-Z61-AA61</f>
        <v>105785.65149101937</v>
      </c>
      <c r="AC61" s="72">
        <v>0</v>
      </c>
      <c r="AD61" s="72">
        <f>AB61/J61/K61/9*M61</f>
        <v>2022186.88632773</v>
      </c>
      <c r="AE61" s="72"/>
      <c r="AF61" s="73"/>
      <c r="AG61" s="73">
        <f t="shared" si="7"/>
        <v>105785.65149101937</v>
      </c>
      <c r="AH61" s="74">
        <f>AB61/J61/K61/8*M61</f>
        <v>2274960.2471186961</v>
      </c>
      <c r="AI61" s="74"/>
    </row>
    <row r="62" spans="1:35" s="75" customFormat="1" ht="25.5">
      <c r="A62" s="62">
        <f t="shared" si="8"/>
        <v>51</v>
      </c>
      <c r="B62" s="63" t="s">
        <v>110</v>
      </c>
      <c r="C62" s="64" t="s">
        <v>109</v>
      </c>
      <c r="D62" s="63" t="s">
        <v>80</v>
      </c>
      <c r="E62" s="63" t="s">
        <v>97</v>
      </c>
      <c r="F62" s="63"/>
      <c r="G62" s="63"/>
      <c r="H62" s="65">
        <v>43739</v>
      </c>
      <c r="I62" s="66">
        <v>10000000</v>
      </c>
      <c r="J62" s="67">
        <v>7.7499999999999999E-2</v>
      </c>
      <c r="K62" s="68">
        <v>0.9</v>
      </c>
      <c r="L62" s="69">
        <v>2</v>
      </c>
      <c r="M62" s="68">
        <v>12</v>
      </c>
      <c r="N62" s="69">
        <f t="shared" si="2"/>
        <v>116250</v>
      </c>
      <c r="O62" s="69">
        <f t="shared" si="3"/>
        <v>6066560.6589831896</v>
      </c>
      <c r="P62" s="69">
        <f t="shared" si="4"/>
        <v>70523.767660679572</v>
      </c>
      <c r="Q62" s="69">
        <f t="shared" si="5"/>
        <v>45726.232339320428</v>
      </c>
      <c r="R62" s="70">
        <v>0.606656065898319</v>
      </c>
      <c r="S62" s="69"/>
      <c r="T62" s="68"/>
      <c r="U62" s="69"/>
      <c r="V62" s="69">
        <f t="shared" si="10"/>
        <v>6066560.6589831896</v>
      </c>
      <c r="W62" s="69">
        <f t="shared" si="10"/>
        <v>70523.767660679572</v>
      </c>
      <c r="X62" s="71">
        <f t="shared" si="6"/>
        <v>6066560.6589831896</v>
      </c>
      <c r="Y62" s="71">
        <f t="shared" si="6"/>
        <v>70523.767660679572</v>
      </c>
      <c r="Z62" s="90"/>
      <c r="AA62" s="90"/>
      <c r="AB62" s="71">
        <f>Y62-Z62-AA62</f>
        <v>70523.767660679572</v>
      </c>
      <c r="AC62" s="72">
        <v>0</v>
      </c>
      <c r="AD62" s="72">
        <f>AB62/J62/K62/9*M62</f>
        <v>1348124.5908851533</v>
      </c>
      <c r="AE62" s="72"/>
      <c r="AF62" s="73"/>
      <c r="AG62" s="73">
        <f t="shared" si="7"/>
        <v>70523.767660679572</v>
      </c>
      <c r="AH62" s="74">
        <f>AB62/J62/K62/8*M62</f>
        <v>1516640.1647457974</v>
      </c>
      <c r="AI62" s="74"/>
    </row>
    <row r="63" spans="1:35" s="75" customFormat="1" ht="25.5">
      <c r="A63" s="62">
        <f t="shared" si="8"/>
        <v>52</v>
      </c>
      <c r="B63" s="63" t="s">
        <v>110</v>
      </c>
      <c r="C63" s="64" t="s">
        <v>109</v>
      </c>
      <c r="D63" s="63" t="s">
        <v>80</v>
      </c>
      <c r="E63" s="63" t="s">
        <v>97</v>
      </c>
      <c r="F63" s="63"/>
      <c r="G63" s="63"/>
      <c r="H63" s="65">
        <v>43770</v>
      </c>
      <c r="I63" s="66">
        <v>10000000</v>
      </c>
      <c r="J63" s="67">
        <v>7.7499999999999999E-2</v>
      </c>
      <c r="K63" s="68">
        <v>0.9</v>
      </c>
      <c r="L63" s="69">
        <v>1</v>
      </c>
      <c r="M63" s="68">
        <v>12</v>
      </c>
      <c r="N63" s="69">
        <f t="shared" si="2"/>
        <v>58125</v>
      </c>
      <c r="O63" s="69">
        <f t="shared" si="3"/>
        <v>6066560.6589831896</v>
      </c>
      <c r="P63" s="69">
        <f t="shared" si="4"/>
        <v>35261.883830339786</v>
      </c>
      <c r="Q63" s="69">
        <f t="shared" si="5"/>
        <v>22863.116169660214</v>
      </c>
      <c r="R63" s="70">
        <v>0.606656065898319</v>
      </c>
      <c r="S63" s="69"/>
      <c r="T63" s="68"/>
      <c r="U63" s="69"/>
      <c r="V63" s="69">
        <f t="shared" si="10"/>
        <v>6066560.6589831896</v>
      </c>
      <c r="W63" s="69">
        <f t="shared" si="10"/>
        <v>35261.883830339786</v>
      </c>
      <c r="X63" s="71">
        <f t="shared" si="6"/>
        <v>6066560.6589831896</v>
      </c>
      <c r="Y63" s="71">
        <f t="shared" si="6"/>
        <v>35261.883830339786</v>
      </c>
      <c r="Z63" s="90"/>
      <c r="AA63" s="90"/>
      <c r="AB63" s="71">
        <f>Y63-Z63-AA63</f>
        <v>35261.883830339786</v>
      </c>
      <c r="AC63" s="72">
        <v>0</v>
      </c>
      <c r="AD63" s="72">
        <f>AB63/J63/K63/9*M63</f>
        <v>674062.29544257664</v>
      </c>
      <c r="AE63" s="72"/>
      <c r="AF63" s="73"/>
      <c r="AG63" s="73">
        <f t="shared" si="7"/>
        <v>35261.883830339786</v>
      </c>
      <c r="AH63" s="74">
        <f>AB63/J63/K63/8*M63</f>
        <v>758320.0823728987</v>
      </c>
      <c r="AI63" s="74"/>
    </row>
    <row r="64" spans="1:35" s="75" customFormat="1" ht="25.5">
      <c r="A64" s="62">
        <f t="shared" si="8"/>
        <v>53</v>
      </c>
      <c r="B64" s="63" t="s">
        <v>110</v>
      </c>
      <c r="C64" s="64" t="s">
        <v>109</v>
      </c>
      <c r="D64" s="63" t="s">
        <v>80</v>
      </c>
      <c r="E64" s="63" t="s">
        <v>97</v>
      </c>
      <c r="F64" s="63"/>
      <c r="G64" s="63"/>
      <c r="H64" s="65">
        <v>43800</v>
      </c>
      <c r="I64" s="66">
        <v>10000000</v>
      </c>
      <c r="J64" s="67">
        <v>7.7499999999999999E-2</v>
      </c>
      <c r="K64" s="68">
        <v>0.9</v>
      </c>
      <c r="L64" s="69">
        <v>0</v>
      </c>
      <c r="M64" s="68">
        <v>12</v>
      </c>
      <c r="N64" s="69">
        <f t="shared" si="2"/>
        <v>0</v>
      </c>
      <c r="O64" s="69">
        <f t="shared" si="3"/>
        <v>6066560.6589831896</v>
      </c>
      <c r="P64" s="69">
        <f t="shared" si="4"/>
        <v>0</v>
      </c>
      <c r="Q64" s="69">
        <f t="shared" si="5"/>
        <v>0</v>
      </c>
      <c r="R64" s="70">
        <v>0.606656065898319</v>
      </c>
      <c r="S64" s="69"/>
      <c r="T64" s="68"/>
      <c r="U64" s="69"/>
      <c r="V64" s="69">
        <f t="shared" si="10"/>
        <v>6066560.6589831896</v>
      </c>
      <c r="W64" s="69">
        <f t="shared" si="10"/>
        <v>0</v>
      </c>
      <c r="X64" s="71">
        <f t="shared" si="6"/>
        <v>6066560.6589831896</v>
      </c>
      <c r="Y64" s="71">
        <f t="shared" si="6"/>
        <v>0</v>
      </c>
      <c r="Z64" s="90"/>
      <c r="AA64" s="90"/>
      <c r="AB64" s="71">
        <f>Y64-Z64-AA64</f>
        <v>0</v>
      </c>
      <c r="AC64" s="72">
        <v>0</v>
      </c>
      <c r="AD64" s="72">
        <f>AB64/J64/K64/9*M64</f>
        <v>0</v>
      </c>
      <c r="AE64" s="72"/>
      <c r="AF64" s="73"/>
      <c r="AG64" s="73">
        <f t="shared" si="7"/>
        <v>0</v>
      </c>
      <c r="AH64" s="74">
        <f>AB64/J64/K64/8*M64</f>
        <v>0</v>
      </c>
      <c r="AI64" s="74"/>
    </row>
    <row r="65" spans="1:35" s="75" customFormat="1" ht="25.5">
      <c r="A65" s="62">
        <f t="shared" si="8"/>
        <v>54</v>
      </c>
      <c r="B65" s="63" t="s">
        <v>111</v>
      </c>
      <c r="C65" s="64" t="s">
        <v>112</v>
      </c>
      <c r="D65" s="63" t="s">
        <v>40</v>
      </c>
      <c r="E65" s="63" t="s">
        <v>41</v>
      </c>
      <c r="F65" s="63"/>
      <c r="G65" s="63"/>
      <c r="H65" s="65">
        <v>43770</v>
      </c>
      <c r="I65" s="66">
        <v>15000000</v>
      </c>
      <c r="J65" s="67">
        <v>7.7499999999999999E-2</v>
      </c>
      <c r="K65" s="68">
        <v>0.9</v>
      </c>
      <c r="L65" s="69">
        <v>1</v>
      </c>
      <c r="M65" s="68">
        <v>12</v>
      </c>
      <c r="N65" s="69">
        <f t="shared" si="2"/>
        <v>87187.5</v>
      </c>
      <c r="O65" s="69">
        <f t="shared" si="3"/>
        <v>9099840.9884747844</v>
      </c>
      <c r="P65" s="69">
        <f t="shared" si="4"/>
        <v>52892.825745509683</v>
      </c>
      <c r="Q65" s="69">
        <f t="shared" si="5"/>
        <v>34294.674254490317</v>
      </c>
      <c r="R65" s="70">
        <v>0.606656065898319</v>
      </c>
      <c r="S65" s="69"/>
      <c r="T65" s="68"/>
      <c r="U65" s="69"/>
      <c r="V65" s="69">
        <f t="shared" si="10"/>
        <v>9099840.9884747844</v>
      </c>
      <c r="W65" s="69">
        <f t="shared" si="10"/>
        <v>52892.825745509683</v>
      </c>
      <c r="X65" s="71">
        <f t="shared" si="6"/>
        <v>9099840.9884747844</v>
      </c>
      <c r="Y65" s="71">
        <f t="shared" si="6"/>
        <v>52892.825745509683</v>
      </c>
      <c r="Z65" s="71"/>
      <c r="AA65" s="71"/>
      <c r="AB65" s="71">
        <f>Y65-Z65-AA65</f>
        <v>52892.825745509683</v>
      </c>
      <c r="AC65" s="72">
        <v>909984.09884747851</v>
      </c>
      <c r="AD65" s="72">
        <f>AB65/J65/K65/9*M65</f>
        <v>1011093.443163865</v>
      </c>
      <c r="AE65" s="72"/>
      <c r="AF65" s="73"/>
      <c r="AG65" s="73">
        <f t="shared" si="7"/>
        <v>52892.825745509683</v>
      </c>
      <c r="AH65" s="74">
        <f>AB65/J65/K65/8*M65</f>
        <v>1137480.1235593481</v>
      </c>
      <c r="AI65" s="74"/>
    </row>
    <row r="66" spans="1:35" s="127" customFormat="1" ht="25.5">
      <c r="A66" s="110">
        <f t="shared" si="8"/>
        <v>55</v>
      </c>
      <c r="B66" s="111" t="s">
        <v>113</v>
      </c>
      <c r="C66" s="112" t="s">
        <v>114</v>
      </c>
      <c r="D66" s="111" t="s">
        <v>40</v>
      </c>
      <c r="E66" s="113"/>
      <c r="F66" s="111"/>
      <c r="G66" s="111"/>
      <c r="H66" s="114">
        <v>43497</v>
      </c>
      <c r="I66" s="115">
        <v>10000000</v>
      </c>
      <c r="J66" s="116">
        <v>7.7499999999999999E-2</v>
      </c>
      <c r="K66" s="117">
        <v>0.9</v>
      </c>
      <c r="L66" s="118">
        <v>10</v>
      </c>
      <c r="M66" s="117">
        <v>12</v>
      </c>
      <c r="N66" s="118">
        <f t="shared" si="2"/>
        <v>581250</v>
      </c>
      <c r="O66" s="118">
        <f t="shared" si="3"/>
        <v>6066560.6589831896</v>
      </c>
      <c r="P66" s="118">
        <f t="shared" si="4"/>
        <v>352618.83830339788</v>
      </c>
      <c r="Q66" s="118">
        <f t="shared" si="5"/>
        <v>228631.16169660212</v>
      </c>
      <c r="R66" s="119">
        <v>0.606656065898319</v>
      </c>
      <c r="S66" s="143">
        <v>10000000</v>
      </c>
      <c r="T66" s="142">
        <v>581250</v>
      </c>
      <c r="U66" s="120">
        <f>P66</f>
        <v>352618.83830339788</v>
      </c>
      <c r="V66" s="118">
        <f t="shared" si="10"/>
        <v>-3933439.3410168104</v>
      </c>
      <c r="W66" s="118">
        <f t="shared" si="10"/>
        <v>-228631.16169660212</v>
      </c>
      <c r="X66" s="121">
        <f t="shared" si="6"/>
        <v>-3933439.3410168104</v>
      </c>
      <c r="Y66" s="121">
        <f t="shared" si="6"/>
        <v>-228631.16169660212</v>
      </c>
      <c r="Z66" s="121"/>
      <c r="AA66" s="121"/>
      <c r="AB66" s="121">
        <f>Y66-Z66-AA66</f>
        <v>-228631.16169660212</v>
      </c>
      <c r="AC66" s="122">
        <v>-3933439.3410168113</v>
      </c>
      <c r="AD66" s="122">
        <f>AB66/J66/K66/9*M66</f>
        <v>-4370488.1566853458</v>
      </c>
      <c r="AE66" s="122"/>
      <c r="AF66" s="123"/>
      <c r="AG66" s="124">
        <f t="shared" si="7"/>
        <v>-228631.16169660212</v>
      </c>
      <c r="AH66" s="125">
        <f>AB66/J66/K66/8*M66</f>
        <v>-4916799.1762710139</v>
      </c>
      <c r="AI66" s="126"/>
    </row>
    <row r="67" spans="1:35" s="127" customFormat="1" ht="25.5">
      <c r="A67" s="110">
        <f t="shared" si="8"/>
        <v>56</v>
      </c>
      <c r="B67" s="111" t="s">
        <v>115</v>
      </c>
      <c r="C67" s="112" t="s">
        <v>116</v>
      </c>
      <c r="D67" s="111" t="s">
        <v>40</v>
      </c>
      <c r="E67" s="113"/>
      <c r="F67" s="111"/>
      <c r="G67" s="111"/>
      <c r="H67" s="114">
        <v>43497</v>
      </c>
      <c r="I67" s="115">
        <v>5000000</v>
      </c>
      <c r="J67" s="116">
        <v>7.7499999999999999E-2</v>
      </c>
      <c r="K67" s="117">
        <v>0.9</v>
      </c>
      <c r="L67" s="118">
        <v>10</v>
      </c>
      <c r="M67" s="117">
        <v>12</v>
      </c>
      <c r="N67" s="118">
        <f t="shared" si="2"/>
        <v>290625</v>
      </c>
      <c r="O67" s="118">
        <f t="shared" si="3"/>
        <v>3033280.3294915948</v>
      </c>
      <c r="P67" s="118">
        <f t="shared" si="4"/>
        <v>176309.41915169894</v>
      </c>
      <c r="Q67" s="118">
        <f t="shared" si="5"/>
        <v>114315.58084830106</v>
      </c>
      <c r="R67" s="119">
        <v>0.606656065898319</v>
      </c>
      <c r="S67" s="143">
        <v>4000000</v>
      </c>
      <c r="T67" s="142">
        <v>232500</v>
      </c>
      <c r="U67" s="120">
        <f>P67</f>
        <v>176309.41915169894</v>
      </c>
      <c r="V67" s="118">
        <f t="shared" si="10"/>
        <v>-966719.67050840519</v>
      </c>
      <c r="W67" s="118">
        <f t="shared" si="10"/>
        <v>-56190.580848301062</v>
      </c>
      <c r="X67" s="121">
        <f t="shared" si="6"/>
        <v>-966719.67050840519</v>
      </c>
      <c r="Y67" s="121">
        <f t="shared" si="6"/>
        <v>-56190.580848301062</v>
      </c>
      <c r="Z67" s="121"/>
      <c r="AA67" s="121"/>
      <c r="AB67" s="121">
        <f>Y67-Z67-AA67</f>
        <v>-56190.580848301062</v>
      </c>
      <c r="AC67" s="122">
        <v>-966719.67050840519</v>
      </c>
      <c r="AD67" s="122">
        <f>AB67/J67/K67/9*M67</f>
        <v>-1074132.9672315614</v>
      </c>
      <c r="AE67" s="122"/>
      <c r="AF67" s="123"/>
      <c r="AG67" s="124">
        <f t="shared" si="7"/>
        <v>-56190.580848301062</v>
      </c>
      <c r="AH67" s="125">
        <f>AB67/J67/K67/8*M67</f>
        <v>-1208399.5881355065</v>
      </c>
      <c r="AI67" s="126"/>
    </row>
    <row r="68" spans="1:35" s="75" customFormat="1" ht="25.5">
      <c r="A68" s="62">
        <f t="shared" si="8"/>
        <v>57</v>
      </c>
      <c r="B68" s="63" t="s">
        <v>117</v>
      </c>
      <c r="C68" s="64" t="s">
        <v>118</v>
      </c>
      <c r="D68" s="63" t="s">
        <v>40</v>
      </c>
      <c r="E68" s="63" t="s">
        <v>41</v>
      </c>
      <c r="F68" s="63"/>
      <c r="G68" s="63"/>
      <c r="H68" s="65">
        <v>43466</v>
      </c>
      <c r="I68" s="66">
        <v>10000000</v>
      </c>
      <c r="J68" s="67">
        <v>7.7499999999999999E-2</v>
      </c>
      <c r="K68" s="68">
        <v>0.9</v>
      </c>
      <c r="L68" s="69">
        <v>10</v>
      </c>
      <c r="M68" s="68">
        <v>12</v>
      </c>
      <c r="N68" s="69">
        <f t="shared" si="2"/>
        <v>581250</v>
      </c>
      <c r="O68" s="69">
        <f t="shared" si="3"/>
        <v>6066560.6589831896</v>
      </c>
      <c r="P68" s="69">
        <f t="shared" si="4"/>
        <v>352618.83830339788</v>
      </c>
      <c r="Q68" s="69">
        <f t="shared" si="5"/>
        <v>228631.16169660212</v>
      </c>
      <c r="R68" s="70">
        <v>0.606656065898319</v>
      </c>
      <c r="S68" s="69"/>
      <c r="T68" s="68"/>
      <c r="U68" s="69"/>
      <c r="V68" s="69">
        <f t="shared" si="10"/>
        <v>6066560.6589831896</v>
      </c>
      <c r="W68" s="69">
        <f t="shared" si="10"/>
        <v>352618.83830339788</v>
      </c>
      <c r="X68" s="71">
        <f t="shared" si="6"/>
        <v>6066560.6589831896</v>
      </c>
      <c r="Y68" s="71">
        <f t="shared" si="6"/>
        <v>352618.83830339788</v>
      </c>
      <c r="Z68" s="71"/>
      <c r="AA68" s="71"/>
      <c r="AB68" s="71">
        <f>Y68-Z68-AA68</f>
        <v>352618.83830339788</v>
      </c>
      <c r="AC68" s="72">
        <v>6066560.6589831896</v>
      </c>
      <c r="AD68" s="72">
        <f>AB68/J68/K68/9*M68</f>
        <v>6740622.9544257652</v>
      </c>
      <c r="AE68" s="72"/>
      <c r="AF68" s="73"/>
      <c r="AG68" s="73">
        <f t="shared" si="7"/>
        <v>352618.83830339788</v>
      </c>
      <c r="AH68" s="74">
        <f>AB68/J68/K68/8*M68</f>
        <v>7583200.8237289861</v>
      </c>
      <c r="AI68" s="74"/>
    </row>
    <row r="69" spans="1:35" s="75" customFormat="1" ht="25.5">
      <c r="A69" s="62">
        <f t="shared" si="8"/>
        <v>58</v>
      </c>
      <c r="B69" s="63" t="s">
        <v>119</v>
      </c>
      <c r="C69" s="64" t="s">
        <v>120</v>
      </c>
      <c r="D69" s="63" t="s">
        <v>40</v>
      </c>
      <c r="E69" s="63" t="s">
        <v>41</v>
      </c>
      <c r="F69" s="63"/>
      <c r="G69" s="63"/>
      <c r="H69" s="65">
        <v>43497</v>
      </c>
      <c r="I69" s="66">
        <v>15000000</v>
      </c>
      <c r="J69" s="67">
        <v>7.7499999999999999E-2</v>
      </c>
      <c r="K69" s="68">
        <v>0.9</v>
      </c>
      <c r="L69" s="69">
        <v>10</v>
      </c>
      <c r="M69" s="68">
        <v>12</v>
      </c>
      <c r="N69" s="69">
        <f t="shared" si="2"/>
        <v>871875</v>
      </c>
      <c r="O69" s="69">
        <f t="shared" si="3"/>
        <v>9099840.9884747844</v>
      </c>
      <c r="P69" s="69">
        <f t="shared" si="4"/>
        <v>528928.25745509693</v>
      </c>
      <c r="Q69" s="69">
        <f t="shared" si="5"/>
        <v>342946.74254490307</v>
      </c>
      <c r="R69" s="70">
        <v>0.606656065898319</v>
      </c>
      <c r="S69" s="69"/>
      <c r="T69" s="68"/>
      <c r="U69" s="69"/>
      <c r="V69" s="69">
        <f t="shared" si="10"/>
        <v>9099840.9884747844</v>
      </c>
      <c r="W69" s="69">
        <f t="shared" si="10"/>
        <v>528928.25745509693</v>
      </c>
      <c r="X69" s="71">
        <f t="shared" si="6"/>
        <v>9099840.9884747844</v>
      </c>
      <c r="Y69" s="71">
        <f t="shared" si="6"/>
        <v>528928.25745509693</v>
      </c>
      <c r="Z69" s="71">
        <v>515958.9</v>
      </c>
      <c r="AA69" s="71"/>
      <c r="AB69" s="71">
        <f>Y69-Z69-AA69</f>
        <v>12969.357455096906</v>
      </c>
      <c r="AC69" s="72">
        <v>-5900159.0115252137</v>
      </c>
      <c r="AD69" s="72">
        <f>AB69/J69/K69/9*M69</f>
        <v>247920.81156696595</v>
      </c>
      <c r="AE69" s="72"/>
      <c r="AF69" s="73"/>
      <c r="AG69" s="73">
        <f t="shared" si="7"/>
        <v>12969.357455096906</v>
      </c>
      <c r="AH69" s="74">
        <f>AB69/J69/K69/8*M69</f>
        <v>278910.91301283665</v>
      </c>
      <c r="AI69" s="74"/>
    </row>
    <row r="70" spans="1:35" s="127" customFormat="1" ht="25.5">
      <c r="A70" s="110">
        <f t="shared" si="8"/>
        <v>59</v>
      </c>
      <c r="B70" s="111" t="s">
        <v>121</v>
      </c>
      <c r="C70" s="112" t="s">
        <v>122</v>
      </c>
      <c r="D70" s="111" t="s">
        <v>40</v>
      </c>
      <c r="E70" s="113" t="s">
        <v>41</v>
      </c>
      <c r="F70" s="111"/>
      <c r="G70" s="111"/>
      <c r="H70" s="114">
        <v>43525</v>
      </c>
      <c r="I70" s="115">
        <v>3000000</v>
      </c>
      <c r="J70" s="116">
        <v>7.7499999999999999E-2</v>
      </c>
      <c r="K70" s="117">
        <v>0.9</v>
      </c>
      <c r="L70" s="118">
        <v>9</v>
      </c>
      <c r="M70" s="117">
        <v>12</v>
      </c>
      <c r="N70" s="118">
        <f t="shared" si="2"/>
        <v>156937.5</v>
      </c>
      <c r="O70" s="118">
        <f t="shared" si="3"/>
        <v>1819968.197694957</v>
      </c>
      <c r="P70" s="118">
        <f t="shared" si="4"/>
        <v>95207.086341917442</v>
      </c>
      <c r="Q70" s="118">
        <f t="shared" si="5"/>
        <v>61730.413658082558</v>
      </c>
      <c r="R70" s="119">
        <v>0.606656065898319</v>
      </c>
      <c r="S70" s="143">
        <v>3000000</v>
      </c>
      <c r="T70" s="142">
        <v>174375</v>
      </c>
      <c r="U70" s="120">
        <f>P70</f>
        <v>95207.086341917442</v>
      </c>
      <c r="V70" s="118">
        <f t="shared" si="10"/>
        <v>-1180031.802305043</v>
      </c>
      <c r="W70" s="118">
        <f t="shared" si="10"/>
        <v>-79167.913658082558</v>
      </c>
      <c r="X70" s="121">
        <f t="shared" si="6"/>
        <v>-1180031.802305043</v>
      </c>
      <c r="Y70" s="121">
        <f t="shared" si="6"/>
        <v>-79167.913658082558</v>
      </c>
      <c r="Z70" s="121"/>
      <c r="AA70" s="121"/>
      <c r="AB70" s="121">
        <f>Y70-Z70-AA70</f>
        <v>-79167.913658082558</v>
      </c>
      <c r="AC70" s="122">
        <v>-1362028.6220745388</v>
      </c>
      <c r="AD70" s="122">
        <f>AB70/J70/K70/9*M70</f>
        <v>-1513365.1356383762</v>
      </c>
      <c r="AE70" s="122"/>
      <c r="AF70" s="123"/>
      <c r="AG70" s="124">
        <f t="shared" si="7"/>
        <v>-79167.913658082558</v>
      </c>
      <c r="AH70" s="125">
        <f>AB70/J70/K70/8*M70</f>
        <v>-1702535.7775931736</v>
      </c>
      <c r="AI70" s="126"/>
    </row>
    <row r="71" spans="1:35" s="89" customFormat="1" ht="25.5">
      <c r="A71" s="76">
        <f t="shared" si="8"/>
        <v>60</v>
      </c>
      <c r="B71" s="77" t="s">
        <v>123</v>
      </c>
      <c r="C71" s="78" t="s">
        <v>124</v>
      </c>
      <c r="D71" s="77" t="s">
        <v>40</v>
      </c>
      <c r="E71" s="63" t="s">
        <v>41</v>
      </c>
      <c r="F71" s="77"/>
      <c r="G71" s="77"/>
      <c r="H71" s="79">
        <v>43525</v>
      </c>
      <c r="I71" s="80">
        <v>3000000</v>
      </c>
      <c r="J71" s="81">
        <v>7.7499999999999999E-2</v>
      </c>
      <c r="K71" s="82">
        <v>0.9</v>
      </c>
      <c r="L71" s="83">
        <v>9</v>
      </c>
      <c r="M71" s="82">
        <v>12</v>
      </c>
      <c r="N71" s="83">
        <f t="shared" si="2"/>
        <v>156937.5</v>
      </c>
      <c r="O71" s="83">
        <f t="shared" si="3"/>
        <v>1819968.197694957</v>
      </c>
      <c r="P71" s="83">
        <f t="shared" si="4"/>
        <v>95207.086341917442</v>
      </c>
      <c r="Q71" s="83">
        <f t="shared" si="5"/>
        <v>61730.413658082558</v>
      </c>
      <c r="R71" s="84">
        <v>0.606656065898319</v>
      </c>
      <c r="S71" s="83"/>
      <c r="T71" s="82"/>
      <c r="U71" s="69"/>
      <c r="V71" s="83">
        <f t="shared" si="10"/>
        <v>1819968.197694957</v>
      </c>
      <c r="W71" s="83">
        <f t="shared" si="10"/>
        <v>95207.086341917442</v>
      </c>
      <c r="X71" s="85">
        <f t="shared" si="6"/>
        <v>1819968.197694957</v>
      </c>
      <c r="Y71" s="85">
        <f t="shared" si="6"/>
        <v>95207.086341917442</v>
      </c>
      <c r="Z71" s="85">
        <v>94936.44</v>
      </c>
      <c r="AA71" s="85"/>
      <c r="AB71" s="85">
        <f>Y71-Z71-AA71</f>
        <v>270.64634191743971</v>
      </c>
      <c r="AC71" s="86">
        <v>-1162028.6220745386</v>
      </c>
      <c r="AD71" s="86">
        <f>AB71/J71/K71/9*M71</f>
        <v>5173.645723630867</v>
      </c>
      <c r="AE71" s="86"/>
      <c r="AF71" s="87"/>
      <c r="AG71" s="73">
        <f t="shared" si="7"/>
        <v>270.64634191743971</v>
      </c>
      <c r="AH71" s="74">
        <f>AB71/J71/K71/8*M71</f>
        <v>5820.3514390847249</v>
      </c>
      <c r="AI71" s="88"/>
    </row>
    <row r="72" spans="1:35" s="127" customFormat="1" ht="25.5">
      <c r="A72" s="110">
        <f t="shared" si="8"/>
        <v>61</v>
      </c>
      <c r="B72" s="111" t="s">
        <v>125</v>
      </c>
      <c r="C72" s="112" t="s">
        <v>126</v>
      </c>
      <c r="D72" s="111" t="s">
        <v>80</v>
      </c>
      <c r="E72" s="113" t="s">
        <v>41</v>
      </c>
      <c r="F72" s="111"/>
      <c r="G72" s="111"/>
      <c r="H72" s="114">
        <v>43497</v>
      </c>
      <c r="I72" s="115">
        <v>30000000</v>
      </c>
      <c r="J72" s="116">
        <v>7.7499999999999999E-2</v>
      </c>
      <c r="K72" s="117">
        <v>0.9</v>
      </c>
      <c r="L72" s="118">
        <v>10</v>
      </c>
      <c r="M72" s="117">
        <v>12</v>
      </c>
      <c r="N72" s="118">
        <f t="shared" si="2"/>
        <v>1743750</v>
      </c>
      <c r="O72" s="118">
        <f t="shared" si="3"/>
        <v>18199681.976949569</v>
      </c>
      <c r="P72" s="118">
        <f t="shared" si="4"/>
        <v>1057856.5149101939</v>
      </c>
      <c r="Q72" s="118">
        <f t="shared" si="5"/>
        <v>685893.48508980614</v>
      </c>
      <c r="R72" s="119">
        <v>0.606656065898319</v>
      </c>
      <c r="S72" s="118"/>
      <c r="T72" s="117"/>
      <c r="U72" s="120"/>
      <c r="V72" s="118">
        <f t="shared" si="10"/>
        <v>18199681.976949569</v>
      </c>
      <c r="W72" s="118">
        <f t="shared" si="10"/>
        <v>1057856.5149101939</v>
      </c>
      <c r="X72" s="121">
        <f t="shared" si="6"/>
        <v>18199681.976949569</v>
      </c>
      <c r="Y72" s="121">
        <f t="shared" si="6"/>
        <v>1057856.5149101939</v>
      </c>
      <c r="Z72" s="121">
        <f>1743749.99-Z73</f>
        <v>1057856.51</v>
      </c>
      <c r="AA72" s="121"/>
      <c r="AB72" s="121">
        <f>Y72-Z72-AA72</f>
        <v>4.9101938493549824E-3</v>
      </c>
      <c r="AC72" s="122">
        <v>3062755.5914583802</v>
      </c>
      <c r="AD72" s="122">
        <f>AB72/J72/K72/9*M72</f>
        <v>9.3862725913595846E-2</v>
      </c>
      <c r="AE72" s="122"/>
      <c r="AF72" s="123"/>
      <c r="AG72" s="124">
        <f t="shared" si="7"/>
        <v>4.9101938493549824E-3</v>
      </c>
      <c r="AH72" s="154">
        <f>AB72/J72/K72/8*M72</f>
        <v>0.10559556665279532</v>
      </c>
      <c r="AI72" s="126"/>
    </row>
    <row r="73" spans="1:35" s="75" customFormat="1" ht="25.5">
      <c r="A73" s="62">
        <f t="shared" si="8"/>
        <v>62</v>
      </c>
      <c r="B73" s="63" t="s">
        <v>125</v>
      </c>
      <c r="C73" s="64" t="s">
        <v>127</v>
      </c>
      <c r="D73" s="63" t="s">
        <v>80</v>
      </c>
      <c r="E73" s="63" t="s">
        <v>41</v>
      </c>
      <c r="F73" s="63"/>
      <c r="G73" s="63"/>
      <c r="H73" s="65">
        <v>43586</v>
      </c>
      <c r="I73" s="66">
        <v>35000000</v>
      </c>
      <c r="J73" s="67">
        <v>7.7499999999999999E-2</v>
      </c>
      <c r="K73" s="68">
        <v>0.9</v>
      </c>
      <c r="L73" s="69">
        <v>7</v>
      </c>
      <c r="M73" s="68">
        <v>12</v>
      </c>
      <c r="N73" s="69">
        <f t="shared" si="2"/>
        <v>1424062.5</v>
      </c>
      <c r="O73" s="69">
        <f t="shared" si="3"/>
        <v>21232962.306441166</v>
      </c>
      <c r="P73" s="69">
        <f t="shared" si="4"/>
        <v>863916.15384332498</v>
      </c>
      <c r="Q73" s="69">
        <f t="shared" si="5"/>
        <v>560146.34615667502</v>
      </c>
      <c r="R73" s="70">
        <v>0.606656065898319</v>
      </c>
      <c r="S73" s="69"/>
      <c r="T73" s="68"/>
      <c r="U73" s="69"/>
      <c r="V73" s="69">
        <f t="shared" si="10"/>
        <v>21232962.306441166</v>
      </c>
      <c r="W73" s="69">
        <f t="shared" si="10"/>
        <v>863916.15384332498</v>
      </c>
      <c r="X73" s="71">
        <f t="shared" si="6"/>
        <v>21232962.306441166</v>
      </c>
      <c r="Y73" s="71">
        <f t="shared" si="6"/>
        <v>863916.15384332498</v>
      </c>
      <c r="Z73" s="90">
        <v>685893.48</v>
      </c>
      <c r="AA73" s="90"/>
      <c r="AB73" s="71">
        <f>Y73-Z73-AA73</f>
        <v>178022.673843325</v>
      </c>
      <c r="AC73" s="72">
        <v>0</v>
      </c>
      <c r="AD73" s="72">
        <f>AB73/J73/K73/9*M73</f>
        <v>3403061.8655832731</v>
      </c>
      <c r="AE73" s="72"/>
      <c r="AF73" s="73"/>
      <c r="AG73" s="73">
        <f t="shared" si="7"/>
        <v>178022.673843325</v>
      </c>
      <c r="AH73" s="74">
        <f>AB73/J73/K73/8*M73</f>
        <v>3828444.5987811824</v>
      </c>
      <c r="AI73" s="74"/>
    </row>
    <row r="74" spans="1:35" s="127" customFormat="1" ht="25.5">
      <c r="A74" s="110">
        <f t="shared" si="8"/>
        <v>63</v>
      </c>
      <c r="B74" s="111" t="s">
        <v>128</v>
      </c>
      <c r="C74" s="112" t="s">
        <v>129</v>
      </c>
      <c r="D74" s="111" t="s">
        <v>40</v>
      </c>
      <c r="E74" s="113" t="s">
        <v>97</v>
      </c>
      <c r="F74" s="111"/>
      <c r="G74" s="111"/>
      <c r="H74" s="114">
        <v>43497</v>
      </c>
      <c r="I74" s="115">
        <v>12000000</v>
      </c>
      <c r="J74" s="116">
        <v>7.7499999999999999E-2</v>
      </c>
      <c r="K74" s="117">
        <v>0.9</v>
      </c>
      <c r="L74" s="118">
        <v>10</v>
      </c>
      <c r="M74" s="117">
        <v>12</v>
      </c>
      <c r="N74" s="118">
        <f t="shared" si="2"/>
        <v>697500</v>
      </c>
      <c r="O74" s="118">
        <f t="shared" si="3"/>
        <v>7279872.7907798281</v>
      </c>
      <c r="P74" s="118">
        <f t="shared" si="4"/>
        <v>423142.60596407746</v>
      </c>
      <c r="Q74" s="118">
        <f t="shared" si="5"/>
        <v>274357.39403592254</v>
      </c>
      <c r="R74" s="119">
        <v>0.606656065898319</v>
      </c>
      <c r="S74" s="118"/>
      <c r="T74" s="117"/>
      <c r="U74" s="120"/>
      <c r="V74" s="118">
        <f t="shared" si="10"/>
        <v>7279872.7907798281</v>
      </c>
      <c r="W74" s="118">
        <f t="shared" si="10"/>
        <v>423142.60596407746</v>
      </c>
      <c r="X74" s="121">
        <f t="shared" si="6"/>
        <v>7279872.7907798281</v>
      </c>
      <c r="Y74" s="121">
        <f t="shared" si="6"/>
        <v>423142.60596407746</v>
      </c>
      <c r="Z74" s="121">
        <f>871874.98-Z75-Z76</f>
        <v>423142.61</v>
      </c>
      <c r="AA74" s="121"/>
      <c r="AB74" s="121">
        <f>Y74-Z74-AA74</f>
        <v>-4.0359225240536034E-3</v>
      </c>
      <c r="AC74" s="122">
        <v>45070.434278307483</v>
      </c>
      <c r="AD74" s="122">
        <f>AB74/J74/K74/9*M74</f>
        <v>-7.7150251355863383E-2</v>
      </c>
      <c r="AE74" s="122"/>
      <c r="AF74" s="123"/>
      <c r="AG74" s="124">
        <f t="shared" si="7"/>
        <v>-4.0359225240536034E-3</v>
      </c>
      <c r="AH74" s="125">
        <f>AB74/J74/K74/8*M74</f>
        <v>-8.6794032775346308E-2</v>
      </c>
      <c r="AI74" s="126"/>
    </row>
    <row r="75" spans="1:35" s="75" customFormat="1" ht="25.5">
      <c r="A75" s="62">
        <f t="shared" si="8"/>
        <v>64</v>
      </c>
      <c r="B75" s="63" t="s">
        <v>128</v>
      </c>
      <c r="C75" s="64" t="s">
        <v>129</v>
      </c>
      <c r="D75" s="63" t="s">
        <v>80</v>
      </c>
      <c r="E75" s="63" t="s">
        <v>97</v>
      </c>
      <c r="F75" s="63"/>
      <c r="G75" s="63"/>
      <c r="H75" s="65">
        <v>43525</v>
      </c>
      <c r="I75" s="66">
        <v>12000000</v>
      </c>
      <c r="J75" s="67">
        <v>7.7499999999999999E-2</v>
      </c>
      <c r="K75" s="68">
        <v>0.9</v>
      </c>
      <c r="L75" s="69">
        <v>9</v>
      </c>
      <c r="M75" s="68">
        <v>12</v>
      </c>
      <c r="N75" s="69">
        <f t="shared" si="2"/>
        <v>627750</v>
      </c>
      <c r="O75" s="69">
        <f t="shared" si="3"/>
        <v>7279872.7907798281</v>
      </c>
      <c r="P75" s="69">
        <f t="shared" si="4"/>
        <v>380828.34536766977</v>
      </c>
      <c r="Q75" s="69">
        <f t="shared" si="5"/>
        <v>246921.65463233023</v>
      </c>
      <c r="R75" s="70">
        <v>0.606656065898319</v>
      </c>
      <c r="S75" s="69"/>
      <c r="T75" s="68"/>
      <c r="U75" s="69"/>
      <c r="V75" s="69">
        <f t="shared" si="10"/>
        <v>7279872.7907798281</v>
      </c>
      <c r="W75" s="69">
        <f t="shared" si="10"/>
        <v>380828.34536766977</v>
      </c>
      <c r="X75" s="71">
        <f t="shared" si="6"/>
        <v>7279872.7907798281</v>
      </c>
      <c r="Y75" s="71">
        <f t="shared" si="6"/>
        <v>380828.34536766977</v>
      </c>
      <c r="Z75" s="90">
        <v>378208.6</v>
      </c>
      <c r="AA75" s="90"/>
      <c r="AB75" s="71">
        <f>Y75-Z75-AA75</f>
        <v>2619.7453676697914</v>
      </c>
      <c r="AC75" s="72">
        <v>0</v>
      </c>
      <c r="AD75" s="72">
        <f>AB75/J75/K75/9*M75</f>
        <v>50078.764495479889</v>
      </c>
      <c r="AE75" s="72"/>
      <c r="AF75" s="73"/>
      <c r="AG75" s="73">
        <f t="shared" si="7"/>
        <v>2619.7453676697914</v>
      </c>
      <c r="AH75" s="74">
        <f>AB75/J75/K75/8*M75</f>
        <v>56338.610057414873</v>
      </c>
      <c r="AI75" s="74"/>
    </row>
    <row r="76" spans="1:35" s="127" customFormat="1" ht="25.5">
      <c r="A76" s="110">
        <f t="shared" si="8"/>
        <v>65</v>
      </c>
      <c r="B76" s="111" t="s">
        <v>128</v>
      </c>
      <c r="C76" s="112" t="s">
        <v>129</v>
      </c>
      <c r="D76" s="111" t="s">
        <v>40</v>
      </c>
      <c r="E76" s="113" t="s">
        <v>97</v>
      </c>
      <c r="F76" s="111"/>
      <c r="G76" s="111"/>
      <c r="H76" s="114">
        <v>43739</v>
      </c>
      <c r="I76" s="115">
        <v>10000000</v>
      </c>
      <c r="J76" s="116">
        <v>7.7499999999999999E-2</v>
      </c>
      <c r="K76" s="117">
        <v>0.9</v>
      </c>
      <c r="L76" s="118">
        <v>2</v>
      </c>
      <c r="M76" s="117">
        <v>12</v>
      </c>
      <c r="N76" s="118">
        <f t="shared" si="2"/>
        <v>116250</v>
      </c>
      <c r="O76" s="118">
        <f t="shared" si="3"/>
        <v>6066560.6589831896</v>
      </c>
      <c r="P76" s="118">
        <f t="shared" si="4"/>
        <v>70523.767660679572</v>
      </c>
      <c r="Q76" s="118">
        <f t="shared" si="5"/>
        <v>45726.232339320428</v>
      </c>
      <c r="R76" s="119">
        <v>0.606656065898319</v>
      </c>
      <c r="S76" s="118"/>
      <c r="T76" s="117"/>
      <c r="U76" s="120"/>
      <c r="V76" s="118">
        <f t="shared" si="10"/>
        <v>6066560.6589831896</v>
      </c>
      <c r="W76" s="118">
        <f t="shared" si="10"/>
        <v>70523.767660679572</v>
      </c>
      <c r="X76" s="121">
        <f t="shared" ref="X76:Y140" si="11">SUM(V76)</f>
        <v>6066560.6589831896</v>
      </c>
      <c r="Y76" s="121">
        <f t="shared" si="11"/>
        <v>70523.767660679572</v>
      </c>
      <c r="Z76" s="144">
        <v>70523.77</v>
      </c>
      <c r="AA76" s="144"/>
      <c r="AB76" s="121">
        <f>Y76-Z76-AA76</f>
        <v>-2.3393204319290817E-3</v>
      </c>
      <c r="AC76" s="122">
        <v>0</v>
      </c>
      <c r="AD76" s="122">
        <f>AB76/J76/K76/9*M76</f>
        <v>-4.4718192247150901E-2</v>
      </c>
      <c r="AE76" s="122"/>
      <c r="AF76" s="123"/>
      <c r="AG76" s="124">
        <f t="shared" ref="AG76:AG139" si="12">AB76+AF76</f>
        <v>-2.3393204319290817E-3</v>
      </c>
      <c r="AH76" s="125">
        <f>AB76/J76/K76/8*M76</f>
        <v>-5.0307966278044763E-2</v>
      </c>
      <c r="AI76" s="126"/>
    </row>
    <row r="77" spans="1:35" s="75" customFormat="1" ht="25.5">
      <c r="A77" s="62">
        <f t="shared" si="8"/>
        <v>66</v>
      </c>
      <c r="B77" s="63" t="s">
        <v>130</v>
      </c>
      <c r="C77" s="64" t="s">
        <v>131</v>
      </c>
      <c r="D77" s="63" t="s">
        <v>40</v>
      </c>
      <c r="E77" s="63" t="s">
        <v>41</v>
      </c>
      <c r="F77" s="63"/>
      <c r="G77" s="63"/>
      <c r="H77" s="65">
        <v>43497</v>
      </c>
      <c r="I77" s="66">
        <v>25000000</v>
      </c>
      <c r="J77" s="67">
        <v>7.7499999999999999E-2</v>
      </c>
      <c r="K77" s="68">
        <v>0.9</v>
      </c>
      <c r="L77" s="69">
        <v>10</v>
      </c>
      <c r="M77" s="68">
        <v>12</v>
      </c>
      <c r="N77" s="69">
        <f t="shared" ref="N77:N141" si="13">I77*J77*K77*L77/M77</f>
        <v>1453125</v>
      </c>
      <c r="O77" s="69">
        <f t="shared" ref="O77:O141" si="14">I77*0.606656065898319</f>
        <v>15166401.647457974</v>
      </c>
      <c r="P77" s="69">
        <f t="shared" ref="P77:P141" si="15">O77*J77*K77*L77/M77</f>
        <v>881547.09575849457</v>
      </c>
      <c r="Q77" s="69">
        <f t="shared" ref="Q77:Q141" si="16">N77-P77</f>
        <v>571577.90424150543</v>
      </c>
      <c r="R77" s="70">
        <v>0.606656065898319</v>
      </c>
      <c r="S77" s="69"/>
      <c r="T77" s="68"/>
      <c r="U77" s="69"/>
      <c r="V77" s="69">
        <f t="shared" si="10"/>
        <v>15166401.647457974</v>
      </c>
      <c r="W77" s="69">
        <f t="shared" si="10"/>
        <v>881547.09575849457</v>
      </c>
      <c r="X77" s="71">
        <f t="shared" si="11"/>
        <v>15166401.647457974</v>
      </c>
      <c r="Y77" s="71">
        <f t="shared" si="11"/>
        <v>881547.09575849457</v>
      </c>
      <c r="Z77" s="71">
        <v>871875</v>
      </c>
      <c r="AA77" s="71"/>
      <c r="AB77" s="71">
        <f>Y77-Z77-AA77</f>
        <v>9672.0957584945718</v>
      </c>
      <c r="AC77" s="72">
        <v>166401.64745797031</v>
      </c>
      <c r="AD77" s="72">
        <f>AB77/J77/K77/9*M77</f>
        <v>184890.71939774568</v>
      </c>
      <c r="AE77" s="72"/>
      <c r="AF77" s="73"/>
      <c r="AG77" s="73">
        <f t="shared" si="12"/>
        <v>9672.0957584945718</v>
      </c>
      <c r="AH77" s="74">
        <f>AB77/J77/K77/8*M77</f>
        <v>208002.05932246387</v>
      </c>
      <c r="AI77" s="74"/>
    </row>
    <row r="78" spans="1:35" s="75" customFormat="1" ht="25.5">
      <c r="A78" s="62">
        <f t="shared" ref="A78:A141" si="17">A77+1</f>
        <v>67</v>
      </c>
      <c r="B78" s="63" t="s">
        <v>132</v>
      </c>
      <c r="C78" s="64" t="s">
        <v>133</v>
      </c>
      <c r="D78" s="63" t="s">
        <v>40</v>
      </c>
      <c r="E78" s="63" t="s">
        <v>41</v>
      </c>
      <c r="F78" s="63"/>
      <c r="G78" s="63"/>
      <c r="H78" s="65">
        <v>43497</v>
      </c>
      <c r="I78" s="66">
        <v>130000000</v>
      </c>
      <c r="J78" s="67">
        <v>7.7499999999999999E-2</v>
      </c>
      <c r="K78" s="68">
        <v>0.9</v>
      </c>
      <c r="L78" s="69">
        <v>10</v>
      </c>
      <c r="M78" s="68">
        <v>12</v>
      </c>
      <c r="N78" s="69">
        <f t="shared" si="13"/>
        <v>7556250</v>
      </c>
      <c r="O78" s="69">
        <f t="shared" si="14"/>
        <v>78865288.566781476</v>
      </c>
      <c r="P78" s="69">
        <f t="shared" si="15"/>
        <v>4584044.8979441728</v>
      </c>
      <c r="Q78" s="69">
        <f t="shared" si="16"/>
        <v>2972205.1020558272</v>
      </c>
      <c r="R78" s="70">
        <v>0.606656065898319</v>
      </c>
      <c r="S78" s="94">
        <v>50000000</v>
      </c>
      <c r="T78" s="95">
        <v>2906250</v>
      </c>
      <c r="U78" s="69">
        <f>P78</f>
        <v>4584044.8979441728</v>
      </c>
      <c r="V78" s="69">
        <f t="shared" si="10"/>
        <v>28865288.566781476</v>
      </c>
      <c r="W78" s="69">
        <f t="shared" si="10"/>
        <v>1677794.8979441728</v>
      </c>
      <c r="X78" s="71">
        <f t="shared" si="11"/>
        <v>28865288.566781476</v>
      </c>
      <c r="Y78" s="71">
        <f t="shared" si="11"/>
        <v>1677794.8979441728</v>
      </c>
      <c r="Z78" s="71"/>
      <c r="AA78" s="71"/>
      <c r="AB78" s="71">
        <f>Y78-Z78-AA78</f>
        <v>1677794.8979441728</v>
      </c>
      <c r="AC78" s="72">
        <v>40998409.884747848</v>
      </c>
      <c r="AD78" s="72">
        <f>AB78/J78/K78/9*M78</f>
        <v>32072542.851979405</v>
      </c>
      <c r="AE78" s="72"/>
      <c r="AF78" s="73"/>
      <c r="AG78" s="73">
        <f t="shared" si="12"/>
        <v>1677794.8979441728</v>
      </c>
      <c r="AH78" s="74">
        <f>AB78/J78/K78/8*M78</f>
        <v>36081610.708476827</v>
      </c>
      <c r="AI78" s="74"/>
    </row>
    <row r="79" spans="1:35" s="75" customFormat="1" ht="25.5">
      <c r="A79" s="62">
        <f t="shared" si="17"/>
        <v>68</v>
      </c>
      <c r="B79" s="63" t="s">
        <v>132</v>
      </c>
      <c r="C79" s="64" t="s">
        <v>133</v>
      </c>
      <c r="D79" s="63" t="s">
        <v>134</v>
      </c>
      <c r="E79" s="63" t="s">
        <v>41</v>
      </c>
      <c r="F79" s="63"/>
      <c r="G79" s="63"/>
      <c r="H79" s="65">
        <v>43497</v>
      </c>
      <c r="I79" s="66">
        <v>20000000</v>
      </c>
      <c r="J79" s="67">
        <v>7.7499999999999999E-2</v>
      </c>
      <c r="K79" s="68">
        <v>0.9</v>
      </c>
      <c r="L79" s="69">
        <v>10</v>
      </c>
      <c r="M79" s="68">
        <v>12</v>
      </c>
      <c r="N79" s="69">
        <f t="shared" si="13"/>
        <v>1162500</v>
      </c>
      <c r="O79" s="69">
        <f t="shared" si="14"/>
        <v>12133121.317966379</v>
      </c>
      <c r="P79" s="69">
        <f t="shared" si="15"/>
        <v>705237.67660679575</v>
      </c>
      <c r="Q79" s="69">
        <f t="shared" si="16"/>
        <v>457262.32339320425</v>
      </c>
      <c r="R79" s="70">
        <v>0.606656065898319</v>
      </c>
      <c r="S79" s="94"/>
      <c r="T79" s="95"/>
      <c r="U79" s="69"/>
      <c r="V79" s="69">
        <f t="shared" si="10"/>
        <v>12133121.317966379</v>
      </c>
      <c r="W79" s="69">
        <f t="shared" si="10"/>
        <v>705237.67660679575</v>
      </c>
      <c r="X79" s="71">
        <f t="shared" si="11"/>
        <v>12133121.317966379</v>
      </c>
      <c r="Y79" s="71">
        <f t="shared" si="11"/>
        <v>705237.67660679575</v>
      </c>
      <c r="Z79" s="71"/>
      <c r="AA79" s="71"/>
      <c r="AB79" s="71">
        <f>Y79-Z79-AA79</f>
        <v>705237.67660679575</v>
      </c>
      <c r="AC79" s="72">
        <v>40998410.884747803</v>
      </c>
      <c r="AD79" s="72">
        <f>AB79/J79/K79/9*M79</f>
        <v>13481245.90885153</v>
      </c>
      <c r="AE79" s="72"/>
      <c r="AF79" s="73"/>
      <c r="AG79" s="73">
        <f t="shared" si="12"/>
        <v>705237.67660679575</v>
      </c>
      <c r="AH79" s="74">
        <f>AB79/J79/K79/8*M79</f>
        <v>15166401.647457972</v>
      </c>
      <c r="AI79" s="74"/>
    </row>
    <row r="80" spans="1:35" s="155" customFormat="1" ht="25.5">
      <c r="A80" s="145">
        <f>A79+1</f>
        <v>69</v>
      </c>
      <c r="B80" s="113" t="s">
        <v>135</v>
      </c>
      <c r="C80" s="146" t="s">
        <v>136</v>
      </c>
      <c r="D80" s="113" t="s">
        <v>40</v>
      </c>
      <c r="E80" s="113" t="s">
        <v>41</v>
      </c>
      <c r="F80" s="113"/>
      <c r="G80" s="113"/>
      <c r="H80" s="147">
        <v>43497</v>
      </c>
      <c r="I80" s="148">
        <v>20000000</v>
      </c>
      <c r="J80" s="149">
        <v>7.7499999999999999E-2</v>
      </c>
      <c r="K80" s="150">
        <v>0.9</v>
      </c>
      <c r="L80" s="120">
        <v>10</v>
      </c>
      <c r="M80" s="150">
        <v>12</v>
      </c>
      <c r="N80" s="120">
        <f t="shared" si="13"/>
        <v>1162500</v>
      </c>
      <c r="O80" s="120">
        <f t="shared" si="14"/>
        <v>12133121.317966379</v>
      </c>
      <c r="P80" s="120">
        <f t="shared" si="15"/>
        <v>705237.67660679575</v>
      </c>
      <c r="Q80" s="120">
        <f t="shared" si="16"/>
        <v>457262.32339320425</v>
      </c>
      <c r="R80" s="151">
        <v>0.606656065898319</v>
      </c>
      <c r="S80" s="120"/>
      <c r="T80" s="150"/>
      <c r="U80" s="120"/>
      <c r="V80" s="120">
        <f t="shared" si="10"/>
        <v>12133121.317966379</v>
      </c>
      <c r="W80" s="120">
        <f t="shared" si="10"/>
        <v>705237.67660679575</v>
      </c>
      <c r="X80" s="152">
        <f t="shared" si="11"/>
        <v>12133121.317966379</v>
      </c>
      <c r="Y80" s="152">
        <f t="shared" si="11"/>
        <v>705237.67660679575</v>
      </c>
      <c r="Z80" s="152">
        <v>663867.12</v>
      </c>
      <c r="AA80" s="152"/>
      <c r="AB80" s="152">
        <f>Y80-Z80-AA80-41370.56</f>
        <v>-3.3932042424567044E-3</v>
      </c>
      <c r="AC80" s="153">
        <v>-2866878.6820336208</v>
      </c>
      <c r="AD80" s="153">
        <f>AB80/J80/K80/9*M80</f>
        <v>-6.486411933011621E-2</v>
      </c>
      <c r="AE80" s="153"/>
      <c r="AF80" s="124">
        <v>-41370.559999999998</v>
      </c>
      <c r="AG80" s="124">
        <f t="shared" si="12"/>
        <v>-41370.56339320424</v>
      </c>
      <c r="AH80" s="125">
        <f>AB80/J80/K80/8*M80</f>
        <v>-7.2972134246380743E-2</v>
      </c>
      <c r="AI80" s="154"/>
    </row>
    <row r="81" spans="1:35" s="127" customFormat="1" ht="38.25">
      <c r="A81" s="110">
        <f t="shared" si="17"/>
        <v>70</v>
      </c>
      <c r="B81" s="111" t="s">
        <v>137</v>
      </c>
      <c r="C81" s="112" t="s">
        <v>138</v>
      </c>
      <c r="D81" s="111" t="s">
        <v>73</v>
      </c>
      <c r="E81" s="113" t="s">
        <v>97</v>
      </c>
      <c r="F81" s="111"/>
      <c r="G81" s="111"/>
      <c r="H81" s="114">
        <v>43525</v>
      </c>
      <c r="I81" s="115">
        <v>25000000</v>
      </c>
      <c r="J81" s="116">
        <v>7.7499999999999999E-2</v>
      </c>
      <c r="K81" s="117">
        <v>0.9</v>
      </c>
      <c r="L81" s="118">
        <v>9</v>
      </c>
      <c r="M81" s="117">
        <v>12</v>
      </c>
      <c r="N81" s="118">
        <f t="shared" si="13"/>
        <v>1307812.5</v>
      </c>
      <c r="O81" s="118">
        <f t="shared" si="14"/>
        <v>15166401.647457974</v>
      </c>
      <c r="P81" s="118">
        <f t="shared" si="15"/>
        <v>793392.38618264522</v>
      </c>
      <c r="Q81" s="118">
        <f t="shared" si="16"/>
        <v>514420.11381735478</v>
      </c>
      <c r="R81" s="119">
        <v>0.606656065898319</v>
      </c>
      <c r="S81" s="118"/>
      <c r="T81" s="117"/>
      <c r="U81" s="120"/>
      <c r="V81" s="118">
        <f t="shared" si="10"/>
        <v>15166401.647457974</v>
      </c>
      <c r="W81" s="118">
        <f t="shared" si="10"/>
        <v>793392.38618264522</v>
      </c>
      <c r="X81" s="121">
        <f t="shared" si="11"/>
        <v>15166401.647457974</v>
      </c>
      <c r="Y81" s="121">
        <f t="shared" si="11"/>
        <v>793392.38618264522</v>
      </c>
      <c r="Z81" s="121">
        <f>1378724.99-Z82-Z83</f>
        <v>793377.71</v>
      </c>
      <c r="AA81" s="121"/>
      <c r="AB81" s="121">
        <f>Y81-Z81-AA81</f>
        <v>14.676182645256631</v>
      </c>
      <c r="AC81" s="122">
        <v>252.17662427574396</v>
      </c>
      <c r="AD81" s="122">
        <f>AB81/J81/K81/9*M81</f>
        <v>280.54829429403355</v>
      </c>
      <c r="AE81" s="122"/>
      <c r="AF81" s="123"/>
      <c r="AG81" s="124">
        <f t="shared" si="12"/>
        <v>14.676182645256631</v>
      </c>
      <c r="AH81" s="154">
        <f>AB81/J81/K81/8*M81</f>
        <v>315.61683108078773</v>
      </c>
      <c r="AI81" s="126"/>
    </row>
    <row r="82" spans="1:35" s="127" customFormat="1" ht="38.25">
      <c r="A82" s="110">
        <f t="shared" si="17"/>
        <v>71</v>
      </c>
      <c r="B82" s="111" t="s">
        <v>137</v>
      </c>
      <c r="C82" s="112" t="s">
        <v>139</v>
      </c>
      <c r="D82" s="111" t="s">
        <v>73</v>
      </c>
      <c r="E82" s="113" t="s">
        <v>97</v>
      </c>
      <c r="F82" s="111"/>
      <c r="G82" s="111"/>
      <c r="H82" s="114">
        <v>43617</v>
      </c>
      <c r="I82" s="115">
        <v>20000000</v>
      </c>
      <c r="J82" s="116">
        <v>7.7499999999999999E-2</v>
      </c>
      <c r="K82" s="117">
        <v>0.9</v>
      </c>
      <c r="L82" s="118">
        <v>6</v>
      </c>
      <c r="M82" s="117">
        <v>12</v>
      </c>
      <c r="N82" s="118">
        <f t="shared" si="13"/>
        <v>697500</v>
      </c>
      <c r="O82" s="118">
        <f t="shared" si="14"/>
        <v>12133121.317966379</v>
      </c>
      <c r="P82" s="118">
        <f t="shared" si="15"/>
        <v>423142.60596407746</v>
      </c>
      <c r="Q82" s="118">
        <f t="shared" si="16"/>
        <v>274357.39403592254</v>
      </c>
      <c r="R82" s="119">
        <v>0.606656065898319</v>
      </c>
      <c r="S82" s="118"/>
      <c r="T82" s="117"/>
      <c r="U82" s="120"/>
      <c r="V82" s="118">
        <f t="shared" si="10"/>
        <v>12133121.317966379</v>
      </c>
      <c r="W82" s="118">
        <f t="shared" si="10"/>
        <v>423142.60596407746</v>
      </c>
      <c r="X82" s="121">
        <f t="shared" si="11"/>
        <v>12133121.317966379</v>
      </c>
      <c r="Y82" s="121">
        <f t="shared" si="11"/>
        <v>423142.60596407746</v>
      </c>
      <c r="Z82" s="144">
        <v>423142.61</v>
      </c>
      <c r="AA82" s="144"/>
      <c r="AB82" s="121">
        <f>Y82-Z82-AA82</f>
        <v>-4.0359225240536034E-3</v>
      </c>
      <c r="AC82" s="122">
        <v>0</v>
      </c>
      <c r="AD82" s="122">
        <f>AB82/J82/K82/9*M82</f>
        <v>-7.7150251355863383E-2</v>
      </c>
      <c r="AE82" s="122"/>
      <c r="AF82" s="123"/>
      <c r="AG82" s="124">
        <f t="shared" si="12"/>
        <v>-4.0359225240536034E-3</v>
      </c>
      <c r="AH82" s="125">
        <f>AB82/J82/K82/8*M82</f>
        <v>-8.6794032775346308E-2</v>
      </c>
      <c r="AI82" s="126"/>
    </row>
    <row r="83" spans="1:35" s="127" customFormat="1" ht="38.25">
      <c r="A83" s="110">
        <f t="shared" si="17"/>
        <v>72</v>
      </c>
      <c r="B83" s="111" t="s">
        <v>137</v>
      </c>
      <c r="C83" s="112" t="s">
        <v>140</v>
      </c>
      <c r="D83" s="111" t="s">
        <v>73</v>
      </c>
      <c r="E83" s="113" t="s">
        <v>97</v>
      </c>
      <c r="F83" s="111"/>
      <c r="G83" s="111"/>
      <c r="H83" s="114">
        <v>43739</v>
      </c>
      <c r="I83" s="115">
        <v>23000000</v>
      </c>
      <c r="J83" s="116">
        <v>7.7499999999999999E-2</v>
      </c>
      <c r="K83" s="117">
        <v>0.9</v>
      </c>
      <c r="L83" s="118">
        <v>2</v>
      </c>
      <c r="M83" s="117">
        <v>12</v>
      </c>
      <c r="N83" s="118">
        <f t="shared" si="13"/>
        <v>267375</v>
      </c>
      <c r="O83" s="118">
        <f t="shared" si="14"/>
        <v>13953089.515661336</v>
      </c>
      <c r="P83" s="118">
        <f t="shared" si="15"/>
        <v>162204.66561956305</v>
      </c>
      <c r="Q83" s="118">
        <f t="shared" si="16"/>
        <v>105170.33438043695</v>
      </c>
      <c r="R83" s="119">
        <v>0.606656065898319</v>
      </c>
      <c r="S83" s="118"/>
      <c r="T83" s="117"/>
      <c r="U83" s="120"/>
      <c r="V83" s="118">
        <f t="shared" si="10"/>
        <v>13953089.515661336</v>
      </c>
      <c r="W83" s="118">
        <f t="shared" si="10"/>
        <v>162204.66561956305</v>
      </c>
      <c r="X83" s="121">
        <f t="shared" si="11"/>
        <v>13953089.515661336</v>
      </c>
      <c r="Y83" s="121">
        <f t="shared" si="11"/>
        <v>162204.66561956305</v>
      </c>
      <c r="Z83" s="144">
        <v>162204.67000000001</v>
      </c>
      <c r="AA83" s="144"/>
      <c r="AB83" s="121">
        <f>Y83-Z83-AA83</f>
        <v>-4.3804369634017348E-3</v>
      </c>
      <c r="AC83" s="122">
        <v>0</v>
      </c>
      <c r="AD83" s="122">
        <f>AB83/J83/K83/9*M83</f>
        <v>-8.3735951510666373E-2</v>
      </c>
      <c r="AE83" s="122"/>
      <c r="AF83" s="123"/>
      <c r="AG83" s="124">
        <f t="shared" si="12"/>
        <v>-4.3804369634017348E-3</v>
      </c>
      <c r="AH83" s="125">
        <f>AB83/J83/K83/8*M83</f>
        <v>-9.420294544949967E-2</v>
      </c>
      <c r="AI83" s="126"/>
    </row>
    <row r="84" spans="1:35" s="155" customFormat="1" ht="25.5">
      <c r="A84" s="145">
        <f t="shared" si="17"/>
        <v>73</v>
      </c>
      <c r="B84" s="113" t="s">
        <v>141</v>
      </c>
      <c r="C84" s="146" t="s">
        <v>142</v>
      </c>
      <c r="D84" s="113" t="s">
        <v>40</v>
      </c>
      <c r="E84" s="113" t="s">
        <v>41</v>
      </c>
      <c r="F84" s="113"/>
      <c r="G84" s="113"/>
      <c r="H84" s="147">
        <v>43497</v>
      </c>
      <c r="I84" s="148">
        <v>15000000</v>
      </c>
      <c r="J84" s="149">
        <v>7.7499999999999999E-2</v>
      </c>
      <c r="K84" s="150">
        <v>0.9</v>
      </c>
      <c r="L84" s="120">
        <v>10</v>
      </c>
      <c r="M84" s="150">
        <v>12</v>
      </c>
      <c r="N84" s="120">
        <f t="shared" si="13"/>
        <v>871875</v>
      </c>
      <c r="O84" s="120">
        <f t="shared" si="14"/>
        <v>9099840.9884747844</v>
      </c>
      <c r="P84" s="120">
        <f t="shared" si="15"/>
        <v>528928.25745509693</v>
      </c>
      <c r="Q84" s="120">
        <f t="shared" si="16"/>
        <v>342946.74254490307</v>
      </c>
      <c r="R84" s="151">
        <v>0.606656065898319</v>
      </c>
      <c r="S84" s="120"/>
      <c r="T84" s="150"/>
      <c r="U84" s="120"/>
      <c r="V84" s="120">
        <f t="shared" si="10"/>
        <v>9099840.9884747844</v>
      </c>
      <c r="W84" s="120">
        <f t="shared" si="10"/>
        <v>528928.25745509693</v>
      </c>
      <c r="X84" s="152">
        <f t="shared" si="11"/>
        <v>9099840.9884747844</v>
      </c>
      <c r="Y84" s="152">
        <f t="shared" si="11"/>
        <v>528928.25745509693</v>
      </c>
      <c r="Z84" s="152">
        <v>528879.38</v>
      </c>
      <c r="AA84" s="152"/>
      <c r="AB84" s="152">
        <f>Y84-Z84-AA84</f>
        <v>48.877455096924677</v>
      </c>
      <c r="AC84" s="153">
        <v>840.98847478628159</v>
      </c>
      <c r="AD84" s="153">
        <f>AB84/J84/K84/9*M84</f>
        <v>934.33605920047171</v>
      </c>
      <c r="AE84" s="153"/>
      <c r="AF84" s="124"/>
      <c r="AG84" s="124">
        <f t="shared" si="12"/>
        <v>48.877455096924677</v>
      </c>
      <c r="AH84" s="154">
        <f>AB84/J84/K84/8*M84</f>
        <v>1051.1280666005305</v>
      </c>
      <c r="AI84" s="154"/>
    </row>
    <row r="85" spans="1:35" s="75" customFormat="1" ht="25.5">
      <c r="A85" s="62">
        <f t="shared" si="17"/>
        <v>74</v>
      </c>
      <c r="B85" s="63" t="s">
        <v>143</v>
      </c>
      <c r="C85" s="64" t="s">
        <v>144</v>
      </c>
      <c r="D85" s="63" t="s">
        <v>40</v>
      </c>
      <c r="E85" s="63" t="s">
        <v>97</v>
      </c>
      <c r="F85" s="63"/>
      <c r="G85" s="63"/>
      <c r="H85" s="65">
        <v>43497</v>
      </c>
      <c r="I85" s="66">
        <v>35000000</v>
      </c>
      <c r="J85" s="67">
        <v>7.7499999999999999E-2</v>
      </c>
      <c r="K85" s="68">
        <v>0.9</v>
      </c>
      <c r="L85" s="69">
        <v>10</v>
      </c>
      <c r="M85" s="68">
        <v>12</v>
      </c>
      <c r="N85" s="69">
        <f t="shared" si="13"/>
        <v>2034375</v>
      </c>
      <c r="O85" s="69">
        <f t="shared" si="14"/>
        <v>21232962.306441166</v>
      </c>
      <c r="P85" s="69">
        <f t="shared" si="15"/>
        <v>1234165.9340618926</v>
      </c>
      <c r="Q85" s="69">
        <f t="shared" si="16"/>
        <v>800209.06593810744</v>
      </c>
      <c r="R85" s="70">
        <v>0.606656065898319</v>
      </c>
      <c r="S85" s="69"/>
      <c r="T85" s="68"/>
      <c r="U85" s="69"/>
      <c r="V85" s="69">
        <f t="shared" si="10"/>
        <v>21232962.306441166</v>
      </c>
      <c r="W85" s="69">
        <f t="shared" si="10"/>
        <v>1234165.9340618926</v>
      </c>
      <c r="X85" s="71">
        <f t="shared" si="11"/>
        <v>21232962.306441166</v>
      </c>
      <c r="Y85" s="71">
        <f t="shared" si="11"/>
        <v>1234165.9340618926</v>
      </c>
      <c r="Z85" s="71"/>
      <c r="AA85" s="71"/>
      <c r="AB85" s="71">
        <f>Y85-Z85-AA85</f>
        <v>1234165.9340618926</v>
      </c>
      <c r="AC85" s="72">
        <v>21232962.306441166</v>
      </c>
      <c r="AD85" s="72">
        <f>AB85/J85/K85/9*M85</f>
        <v>23592180.340490181</v>
      </c>
      <c r="AE85" s="72"/>
      <c r="AF85" s="73"/>
      <c r="AG85" s="73">
        <f t="shared" si="12"/>
        <v>1234165.9340618926</v>
      </c>
      <c r="AH85" s="74">
        <f>AB85/J85/K85/8*M85</f>
        <v>26541202.883051455</v>
      </c>
      <c r="AI85" s="74"/>
    </row>
    <row r="86" spans="1:35" s="75" customFormat="1" ht="25.5">
      <c r="A86" s="62">
        <f t="shared" si="17"/>
        <v>75</v>
      </c>
      <c r="B86" s="63" t="s">
        <v>145</v>
      </c>
      <c r="C86" s="64" t="s">
        <v>146</v>
      </c>
      <c r="D86" s="63" t="s">
        <v>40</v>
      </c>
      <c r="E86" s="63" t="s">
        <v>41</v>
      </c>
      <c r="F86" s="63"/>
      <c r="G86" s="63"/>
      <c r="H86" s="65">
        <v>43497</v>
      </c>
      <c r="I86" s="66">
        <v>20000000</v>
      </c>
      <c r="J86" s="67">
        <v>7.7499999999999999E-2</v>
      </c>
      <c r="K86" s="68">
        <v>0.9</v>
      </c>
      <c r="L86" s="69">
        <v>10</v>
      </c>
      <c r="M86" s="68">
        <v>12</v>
      </c>
      <c r="N86" s="69">
        <f t="shared" si="13"/>
        <v>1162500</v>
      </c>
      <c r="O86" s="69">
        <f t="shared" si="14"/>
        <v>12133121.317966379</v>
      </c>
      <c r="P86" s="69">
        <f t="shared" si="15"/>
        <v>705237.67660679575</v>
      </c>
      <c r="Q86" s="69">
        <f t="shared" si="16"/>
        <v>457262.32339320425</v>
      </c>
      <c r="R86" s="70">
        <v>0.606656065898319</v>
      </c>
      <c r="S86" s="69"/>
      <c r="T86" s="68"/>
      <c r="U86" s="69"/>
      <c r="V86" s="69">
        <f t="shared" si="10"/>
        <v>12133121.317966379</v>
      </c>
      <c r="W86" s="69">
        <f t="shared" si="10"/>
        <v>705237.67660679575</v>
      </c>
      <c r="X86" s="71">
        <f t="shared" si="11"/>
        <v>12133121.317966379</v>
      </c>
      <c r="Y86" s="71">
        <f t="shared" si="11"/>
        <v>705237.67660679575</v>
      </c>
      <c r="Z86" s="71"/>
      <c r="AA86" s="71"/>
      <c r="AB86" s="71">
        <f>Y86-Z86-AA86</f>
        <v>705237.67660679575</v>
      </c>
      <c r="AC86" s="72">
        <v>12133121.317966379</v>
      </c>
      <c r="AD86" s="72">
        <f>AB86/J86/K86/9*M86</f>
        <v>13481245.90885153</v>
      </c>
      <c r="AE86" s="72"/>
      <c r="AF86" s="73"/>
      <c r="AG86" s="73">
        <f t="shared" si="12"/>
        <v>705237.67660679575</v>
      </c>
      <c r="AH86" s="74">
        <f>AB86/J86/K86/8*M86</f>
        <v>15166401.647457972</v>
      </c>
      <c r="AI86" s="74"/>
    </row>
    <row r="87" spans="1:35" s="75" customFormat="1" ht="25.5">
      <c r="A87" s="62">
        <f t="shared" si="17"/>
        <v>76</v>
      </c>
      <c r="B87" s="63" t="s">
        <v>147</v>
      </c>
      <c r="C87" s="64" t="s">
        <v>148</v>
      </c>
      <c r="D87" s="63" t="s">
        <v>40</v>
      </c>
      <c r="E87" s="63" t="s">
        <v>41</v>
      </c>
      <c r="F87" s="63"/>
      <c r="G87" s="63"/>
      <c r="H87" s="65">
        <v>43497</v>
      </c>
      <c r="I87" s="66">
        <v>500000</v>
      </c>
      <c r="J87" s="67">
        <v>7.7499999999999999E-2</v>
      </c>
      <c r="K87" s="68">
        <v>0.9</v>
      </c>
      <c r="L87" s="69">
        <v>10</v>
      </c>
      <c r="M87" s="68">
        <v>12</v>
      </c>
      <c r="N87" s="69">
        <f t="shared" si="13"/>
        <v>29062.5</v>
      </c>
      <c r="O87" s="69">
        <f t="shared" si="14"/>
        <v>303328.0329491595</v>
      </c>
      <c r="P87" s="69">
        <f t="shared" si="15"/>
        <v>17630.941915169897</v>
      </c>
      <c r="Q87" s="69">
        <f t="shared" si="16"/>
        <v>11431.558084830103</v>
      </c>
      <c r="R87" s="70">
        <v>0.606656065898319</v>
      </c>
      <c r="S87" s="69"/>
      <c r="T87" s="68"/>
      <c r="U87" s="69"/>
      <c r="V87" s="69">
        <f t="shared" si="10"/>
        <v>303328.0329491595</v>
      </c>
      <c r="W87" s="69">
        <f t="shared" si="10"/>
        <v>17630.941915169897</v>
      </c>
      <c r="X87" s="71">
        <f t="shared" si="11"/>
        <v>303328.0329491595</v>
      </c>
      <c r="Y87" s="71">
        <f t="shared" si="11"/>
        <v>17630.941915169897</v>
      </c>
      <c r="Z87" s="71"/>
      <c r="AA87" s="71"/>
      <c r="AB87" s="71">
        <f>Y87-Z87-AA87</f>
        <v>17630.941915169897</v>
      </c>
      <c r="AC87" s="72">
        <v>303328.0329491595</v>
      </c>
      <c r="AD87" s="72">
        <f>AB87/J87/K87/9*M87</f>
        <v>337031.14772128832</v>
      </c>
      <c r="AE87" s="72"/>
      <c r="AF87" s="73"/>
      <c r="AG87" s="73">
        <f t="shared" si="12"/>
        <v>17630.941915169897</v>
      </c>
      <c r="AH87" s="74">
        <f>AB87/J87/K87/8*M87</f>
        <v>379160.04118644935</v>
      </c>
      <c r="AI87" s="74"/>
    </row>
    <row r="88" spans="1:35" s="75" customFormat="1" ht="25.5">
      <c r="A88" s="62">
        <f t="shared" si="17"/>
        <v>77</v>
      </c>
      <c r="B88" s="63" t="s">
        <v>149</v>
      </c>
      <c r="C88" s="64" t="s">
        <v>150</v>
      </c>
      <c r="D88" s="63" t="s">
        <v>40</v>
      </c>
      <c r="E88" s="63" t="s">
        <v>41</v>
      </c>
      <c r="F88" s="63"/>
      <c r="G88" s="63"/>
      <c r="H88" s="65">
        <v>43556</v>
      </c>
      <c r="I88" s="66">
        <v>500000</v>
      </c>
      <c r="J88" s="67">
        <v>7.7499999999999999E-2</v>
      </c>
      <c r="K88" s="68">
        <v>0.9</v>
      </c>
      <c r="L88" s="69">
        <v>8</v>
      </c>
      <c r="M88" s="68">
        <v>12</v>
      </c>
      <c r="N88" s="69">
        <f t="shared" si="13"/>
        <v>23250</v>
      </c>
      <c r="O88" s="69">
        <f t="shared" si="14"/>
        <v>303328.0329491595</v>
      </c>
      <c r="P88" s="69">
        <f t="shared" si="15"/>
        <v>14104.753532135917</v>
      </c>
      <c r="Q88" s="69">
        <f t="shared" si="16"/>
        <v>9145.2464678640827</v>
      </c>
      <c r="R88" s="70">
        <v>0.606656065898319</v>
      </c>
      <c r="S88" s="69"/>
      <c r="T88" s="68"/>
      <c r="U88" s="69"/>
      <c r="V88" s="69">
        <f t="shared" si="10"/>
        <v>303328.0329491595</v>
      </c>
      <c r="W88" s="69">
        <f t="shared" si="10"/>
        <v>14104.753532135917</v>
      </c>
      <c r="X88" s="71">
        <f t="shared" si="11"/>
        <v>303328.0329491595</v>
      </c>
      <c r="Y88" s="71">
        <f t="shared" si="11"/>
        <v>14104.753532135917</v>
      </c>
      <c r="Z88" s="71"/>
      <c r="AA88" s="71"/>
      <c r="AB88" s="71">
        <f>Y88-Z88-AA88</f>
        <v>14104.753532135917</v>
      </c>
      <c r="AC88" s="72">
        <v>242662.42635932763</v>
      </c>
      <c r="AD88" s="72">
        <f>AB88/J88/K88/9*M88</f>
        <v>269624.91817703069</v>
      </c>
      <c r="AE88" s="72"/>
      <c r="AF88" s="73"/>
      <c r="AG88" s="73">
        <f t="shared" si="12"/>
        <v>14104.753532135917</v>
      </c>
      <c r="AH88" s="74">
        <f>AB88/J88/K88/8*M88</f>
        <v>303328.0329491595</v>
      </c>
      <c r="AI88" s="74"/>
    </row>
    <row r="89" spans="1:35" s="75" customFormat="1" ht="25.5">
      <c r="A89" s="62">
        <f t="shared" si="17"/>
        <v>78</v>
      </c>
      <c r="B89" s="63" t="s">
        <v>151</v>
      </c>
      <c r="C89" s="64" t="s">
        <v>152</v>
      </c>
      <c r="D89" s="63" t="s">
        <v>40</v>
      </c>
      <c r="E89" s="63" t="s">
        <v>41</v>
      </c>
      <c r="F89" s="63"/>
      <c r="G89" s="63"/>
      <c r="H89" s="65">
        <v>43556</v>
      </c>
      <c r="I89" s="66">
        <v>600000</v>
      </c>
      <c r="J89" s="67">
        <v>7.7499999999999999E-2</v>
      </c>
      <c r="K89" s="68">
        <v>0.9</v>
      </c>
      <c r="L89" s="69">
        <v>8</v>
      </c>
      <c r="M89" s="68">
        <v>12</v>
      </c>
      <c r="N89" s="69">
        <f t="shared" si="13"/>
        <v>27900</v>
      </c>
      <c r="O89" s="69">
        <f t="shared" si="14"/>
        <v>363993.63953899138</v>
      </c>
      <c r="P89" s="69">
        <f t="shared" si="15"/>
        <v>16925.704238563099</v>
      </c>
      <c r="Q89" s="69">
        <f t="shared" si="16"/>
        <v>10974.295761436901</v>
      </c>
      <c r="R89" s="70">
        <v>0.606656065898319</v>
      </c>
      <c r="S89" s="69"/>
      <c r="T89" s="68"/>
      <c r="U89" s="69"/>
      <c r="V89" s="69">
        <f t="shared" si="10"/>
        <v>363993.63953899138</v>
      </c>
      <c r="W89" s="69">
        <f t="shared" si="10"/>
        <v>16925.704238563099</v>
      </c>
      <c r="X89" s="71">
        <f t="shared" si="11"/>
        <v>363993.63953899138</v>
      </c>
      <c r="Y89" s="71">
        <f t="shared" si="11"/>
        <v>16925.704238563099</v>
      </c>
      <c r="Z89" s="71"/>
      <c r="AA89" s="71"/>
      <c r="AB89" s="71">
        <f>Y89-Z89-AA89</f>
        <v>16925.704238563099</v>
      </c>
      <c r="AC89" s="72">
        <v>291194.91163119313</v>
      </c>
      <c r="AD89" s="72">
        <f>AB89/J89/K89/9*M89</f>
        <v>323549.90181243682</v>
      </c>
      <c r="AE89" s="72"/>
      <c r="AF89" s="73"/>
      <c r="AG89" s="73">
        <f t="shared" si="12"/>
        <v>16925.704238563099</v>
      </c>
      <c r="AH89" s="74">
        <f>AB89/J89/K89/8*M89</f>
        <v>363993.63953899138</v>
      </c>
      <c r="AI89" s="74"/>
    </row>
    <row r="90" spans="1:35" s="75" customFormat="1" ht="25.5">
      <c r="A90" s="62">
        <f t="shared" si="17"/>
        <v>79</v>
      </c>
      <c r="B90" s="63" t="s">
        <v>153</v>
      </c>
      <c r="C90" s="64" t="s">
        <v>154</v>
      </c>
      <c r="D90" s="63" t="s">
        <v>40</v>
      </c>
      <c r="E90" s="63" t="s">
        <v>41</v>
      </c>
      <c r="F90" s="63"/>
      <c r="G90" s="63"/>
      <c r="H90" s="65">
        <v>43497</v>
      </c>
      <c r="I90" s="66">
        <v>10000000</v>
      </c>
      <c r="J90" s="67">
        <v>7.7499999999999999E-2</v>
      </c>
      <c r="K90" s="68">
        <v>0.9</v>
      </c>
      <c r="L90" s="69">
        <v>10</v>
      </c>
      <c r="M90" s="68">
        <v>12</v>
      </c>
      <c r="N90" s="69">
        <f t="shared" si="13"/>
        <v>581250</v>
      </c>
      <c r="O90" s="69">
        <f t="shared" si="14"/>
        <v>6066560.6589831896</v>
      </c>
      <c r="P90" s="69">
        <f t="shared" si="15"/>
        <v>352618.83830339788</v>
      </c>
      <c r="Q90" s="69">
        <f t="shared" si="16"/>
        <v>228631.16169660212</v>
      </c>
      <c r="R90" s="70">
        <v>0.606656065898319</v>
      </c>
      <c r="S90" s="69"/>
      <c r="T90" s="68"/>
      <c r="U90" s="69"/>
      <c r="V90" s="69">
        <f t="shared" si="10"/>
        <v>6066560.6589831896</v>
      </c>
      <c r="W90" s="69">
        <f t="shared" si="10"/>
        <v>352618.83830339788</v>
      </c>
      <c r="X90" s="71">
        <f t="shared" si="11"/>
        <v>6066560.6589831896</v>
      </c>
      <c r="Y90" s="71">
        <f t="shared" si="11"/>
        <v>352618.83830339788</v>
      </c>
      <c r="Z90" s="71"/>
      <c r="AA90" s="71"/>
      <c r="AB90" s="71">
        <f>Y90-Z90-AA90</f>
        <v>352618.83830339788</v>
      </c>
      <c r="AC90" s="72">
        <v>6066560.6589831896</v>
      </c>
      <c r="AD90" s="72">
        <f>AB90/J90/K90/9*M90</f>
        <v>6740622.9544257652</v>
      </c>
      <c r="AE90" s="72">
        <v>325500</v>
      </c>
      <c r="AF90" s="73"/>
      <c r="AG90" s="73">
        <f t="shared" si="12"/>
        <v>352618.83830339788</v>
      </c>
      <c r="AH90" s="74">
        <f>AB90/J90/K90/8*M90</f>
        <v>7583200.8237289861</v>
      </c>
      <c r="AI90" s="93">
        <v>7000000</v>
      </c>
    </row>
    <row r="91" spans="1:35" s="75" customFormat="1" ht="25.5">
      <c r="A91" s="62">
        <f t="shared" si="17"/>
        <v>80</v>
      </c>
      <c r="B91" s="63" t="s">
        <v>155</v>
      </c>
      <c r="C91" s="64" t="s">
        <v>156</v>
      </c>
      <c r="D91" s="63" t="s">
        <v>40</v>
      </c>
      <c r="E91" s="63" t="s">
        <v>41</v>
      </c>
      <c r="F91" s="63"/>
      <c r="G91" s="63"/>
      <c r="H91" s="65">
        <v>43525</v>
      </c>
      <c r="I91" s="66">
        <v>300000</v>
      </c>
      <c r="J91" s="67">
        <v>7.7499999999999999E-2</v>
      </c>
      <c r="K91" s="68">
        <v>0.9</v>
      </c>
      <c r="L91" s="69">
        <v>9</v>
      </c>
      <c r="M91" s="68">
        <v>12</v>
      </c>
      <c r="N91" s="69">
        <f t="shared" si="13"/>
        <v>15693.75</v>
      </c>
      <c r="O91" s="69">
        <f t="shared" si="14"/>
        <v>181996.81976949569</v>
      </c>
      <c r="P91" s="69">
        <f t="shared" si="15"/>
        <v>9520.7086341917438</v>
      </c>
      <c r="Q91" s="69">
        <f t="shared" si="16"/>
        <v>6173.0413658082562</v>
      </c>
      <c r="R91" s="70">
        <v>0.606656065898319</v>
      </c>
      <c r="S91" s="69"/>
      <c r="T91" s="68"/>
      <c r="U91" s="69"/>
      <c r="V91" s="69">
        <f t="shared" si="10"/>
        <v>181996.81976949569</v>
      </c>
      <c r="W91" s="69">
        <f t="shared" si="10"/>
        <v>9520.7086341917438</v>
      </c>
      <c r="X91" s="71">
        <f t="shared" si="11"/>
        <v>181996.81976949569</v>
      </c>
      <c r="Y91" s="71">
        <f t="shared" si="11"/>
        <v>9520.7086341917438</v>
      </c>
      <c r="Z91" s="71"/>
      <c r="AA91" s="71"/>
      <c r="AB91" s="71">
        <f>Y91-Z91-AA91</f>
        <v>9520.7086341917438</v>
      </c>
      <c r="AC91" s="72">
        <v>163797.13779254613</v>
      </c>
      <c r="AD91" s="72">
        <f>AB91/J91/K91/9*M91</f>
        <v>181996.81976949572</v>
      </c>
      <c r="AE91" s="72"/>
      <c r="AF91" s="73"/>
      <c r="AG91" s="73">
        <f t="shared" si="12"/>
        <v>9520.7086341917438</v>
      </c>
      <c r="AH91" s="74">
        <f>AB91/J91/K91/8*M91</f>
        <v>204746.42224068267</v>
      </c>
      <c r="AI91" s="74"/>
    </row>
    <row r="92" spans="1:35" s="127" customFormat="1" ht="25.5">
      <c r="A92" s="110">
        <f t="shared" si="17"/>
        <v>81</v>
      </c>
      <c r="B92" s="111" t="s">
        <v>157</v>
      </c>
      <c r="C92" s="112" t="s">
        <v>158</v>
      </c>
      <c r="D92" s="111" t="s">
        <v>40</v>
      </c>
      <c r="E92" s="113"/>
      <c r="F92" s="111"/>
      <c r="G92" s="111"/>
      <c r="H92" s="114">
        <v>43556</v>
      </c>
      <c r="I92" s="115">
        <v>8000000</v>
      </c>
      <c r="J92" s="116">
        <v>7.7499999999999999E-2</v>
      </c>
      <c r="K92" s="117">
        <v>0.9</v>
      </c>
      <c r="L92" s="118">
        <v>8</v>
      </c>
      <c r="M92" s="117">
        <v>12</v>
      </c>
      <c r="N92" s="118">
        <f t="shared" si="13"/>
        <v>372000</v>
      </c>
      <c r="O92" s="118">
        <f t="shared" si="14"/>
        <v>4853248.5271865521</v>
      </c>
      <c r="P92" s="118">
        <f t="shared" si="15"/>
        <v>225676.05651417468</v>
      </c>
      <c r="Q92" s="118">
        <f t="shared" si="16"/>
        <v>146323.94348582532</v>
      </c>
      <c r="R92" s="119">
        <v>0.606656065898319</v>
      </c>
      <c r="S92" s="143">
        <v>8000000</v>
      </c>
      <c r="T92" s="142">
        <v>465000</v>
      </c>
      <c r="U92" s="120">
        <f>P92</f>
        <v>225676.05651417468</v>
      </c>
      <c r="V92" s="118">
        <f t="shared" si="10"/>
        <v>-3146751.4728134479</v>
      </c>
      <c r="W92" s="118">
        <f t="shared" si="10"/>
        <v>-239323.94348582532</v>
      </c>
      <c r="X92" s="121">
        <f t="shared" si="11"/>
        <v>-3146751.4728134479</v>
      </c>
      <c r="Y92" s="121">
        <f t="shared" si="11"/>
        <v>-239323.94348582532</v>
      </c>
      <c r="Z92" s="121"/>
      <c r="AA92" s="121"/>
      <c r="AB92" s="121">
        <f>Y92-Z92-AA92</f>
        <v>-239323.94348582532</v>
      </c>
      <c r="AC92" s="122">
        <v>-4117401.178250758</v>
      </c>
      <c r="AD92" s="122">
        <f>AB92/J92/K92/9*M92</f>
        <v>-4574890.198056397</v>
      </c>
      <c r="AE92" s="122"/>
      <c r="AF92" s="123"/>
      <c r="AG92" s="124">
        <f t="shared" si="12"/>
        <v>-239323.94348582532</v>
      </c>
      <c r="AH92" s="125">
        <f>AB92/J92/K92/8*M92</f>
        <v>-5146751.472813447</v>
      </c>
      <c r="AI92" s="126"/>
    </row>
    <row r="93" spans="1:35" s="127" customFormat="1" ht="25.5">
      <c r="A93" s="110">
        <f t="shared" si="17"/>
        <v>82</v>
      </c>
      <c r="B93" s="111" t="s">
        <v>159</v>
      </c>
      <c r="C93" s="112" t="s">
        <v>160</v>
      </c>
      <c r="D93" s="111" t="s">
        <v>40</v>
      </c>
      <c r="E93" s="113"/>
      <c r="F93" s="111"/>
      <c r="G93" s="111"/>
      <c r="H93" s="114">
        <v>43556</v>
      </c>
      <c r="I93" s="115">
        <v>10000000</v>
      </c>
      <c r="J93" s="116">
        <v>7.7499999999999999E-2</v>
      </c>
      <c r="K93" s="117">
        <v>0.9</v>
      </c>
      <c r="L93" s="118">
        <v>8</v>
      </c>
      <c r="M93" s="117">
        <v>12</v>
      </c>
      <c r="N93" s="118">
        <f t="shared" si="13"/>
        <v>465000</v>
      </c>
      <c r="O93" s="118">
        <f t="shared" si="14"/>
        <v>6066560.6589831896</v>
      </c>
      <c r="P93" s="118">
        <f t="shared" si="15"/>
        <v>282095.07064271829</v>
      </c>
      <c r="Q93" s="118">
        <f t="shared" si="16"/>
        <v>182904.92935728171</v>
      </c>
      <c r="R93" s="119">
        <v>0.606656065898319</v>
      </c>
      <c r="S93" s="143">
        <v>10000000</v>
      </c>
      <c r="T93" s="142">
        <v>581250</v>
      </c>
      <c r="U93" s="120">
        <f>P93</f>
        <v>282095.07064271829</v>
      </c>
      <c r="V93" s="118">
        <f t="shared" si="10"/>
        <v>-3933439.3410168104</v>
      </c>
      <c r="W93" s="118">
        <f t="shared" si="10"/>
        <v>-299154.92935728171</v>
      </c>
      <c r="X93" s="121">
        <f t="shared" si="11"/>
        <v>-3933439.3410168104</v>
      </c>
      <c r="Y93" s="121">
        <f t="shared" si="11"/>
        <v>-299154.92935728171</v>
      </c>
      <c r="Z93" s="121"/>
      <c r="AA93" s="121"/>
      <c r="AB93" s="121">
        <f>Y93-Z93-AA93</f>
        <v>-299154.92935728171</v>
      </c>
      <c r="AC93" s="122">
        <v>-5146751.4728134479</v>
      </c>
      <c r="AD93" s="122">
        <f>AB93/J93/K93/9*M93</f>
        <v>-5718612.7475704979</v>
      </c>
      <c r="AE93" s="122"/>
      <c r="AF93" s="123"/>
      <c r="AG93" s="124">
        <f t="shared" si="12"/>
        <v>-299154.92935728171</v>
      </c>
      <c r="AH93" s="125">
        <f>AB93/J93/K93/8*M93</f>
        <v>-6433439.3410168104</v>
      </c>
      <c r="AI93" s="126"/>
    </row>
    <row r="94" spans="1:35" s="127" customFormat="1" ht="25.5">
      <c r="A94" s="110">
        <f t="shared" si="17"/>
        <v>83</v>
      </c>
      <c r="B94" s="111" t="s">
        <v>161</v>
      </c>
      <c r="C94" s="112" t="s">
        <v>162</v>
      </c>
      <c r="D94" s="111" t="s">
        <v>40</v>
      </c>
      <c r="E94" s="113"/>
      <c r="F94" s="111"/>
      <c r="G94" s="111"/>
      <c r="H94" s="114">
        <v>43525</v>
      </c>
      <c r="I94" s="115">
        <v>15000000</v>
      </c>
      <c r="J94" s="116">
        <v>7.7499999999999999E-2</v>
      </c>
      <c r="K94" s="117">
        <v>0.9</v>
      </c>
      <c r="L94" s="118">
        <v>9</v>
      </c>
      <c r="M94" s="117">
        <v>12</v>
      </c>
      <c r="N94" s="118">
        <f t="shared" si="13"/>
        <v>784687.5</v>
      </c>
      <c r="O94" s="118">
        <f t="shared" si="14"/>
        <v>9099840.9884747844</v>
      </c>
      <c r="P94" s="118">
        <f t="shared" si="15"/>
        <v>476035.43170958717</v>
      </c>
      <c r="Q94" s="118">
        <f t="shared" si="16"/>
        <v>308652.06829041283</v>
      </c>
      <c r="R94" s="119">
        <v>0.606656065898319</v>
      </c>
      <c r="S94" s="143">
        <v>15000000</v>
      </c>
      <c r="T94" s="142">
        <v>871875</v>
      </c>
      <c r="U94" s="120">
        <f>P94</f>
        <v>476035.43170958717</v>
      </c>
      <c r="V94" s="118">
        <f t="shared" si="10"/>
        <v>-5900159.0115252156</v>
      </c>
      <c r="W94" s="118">
        <f t="shared" si="10"/>
        <v>-395839.56829041283</v>
      </c>
      <c r="X94" s="121">
        <f t="shared" si="11"/>
        <v>-5900159.0115252156</v>
      </c>
      <c r="Y94" s="121">
        <f t="shared" si="11"/>
        <v>-395839.56829041283</v>
      </c>
      <c r="Z94" s="121"/>
      <c r="AA94" s="121"/>
      <c r="AB94" s="121">
        <f>Y94-Z94-AA94</f>
        <v>-395839.56829041283</v>
      </c>
      <c r="AC94" s="122">
        <v>-6810143.1103726942</v>
      </c>
      <c r="AD94" s="122">
        <f>AB94/J94/K94/9*M94</f>
        <v>-7566825.6781918816</v>
      </c>
      <c r="AE94" s="122"/>
      <c r="AF94" s="123"/>
      <c r="AG94" s="124">
        <f t="shared" si="12"/>
        <v>-395839.56829041283</v>
      </c>
      <c r="AH94" s="125">
        <f>AB94/J94/K94/8*M94</f>
        <v>-8512678.8879658673</v>
      </c>
      <c r="AI94" s="126"/>
    </row>
    <row r="95" spans="1:35" s="75" customFormat="1" ht="25.5">
      <c r="A95" s="62">
        <f t="shared" si="17"/>
        <v>84</v>
      </c>
      <c r="B95" s="63" t="s">
        <v>163</v>
      </c>
      <c r="C95" s="64" t="s">
        <v>164</v>
      </c>
      <c r="D95" s="63" t="s">
        <v>40</v>
      </c>
      <c r="E95" s="63" t="s">
        <v>41</v>
      </c>
      <c r="F95" s="63"/>
      <c r="G95" s="63"/>
      <c r="H95" s="65">
        <v>43556</v>
      </c>
      <c r="I95" s="66">
        <v>10000000</v>
      </c>
      <c r="J95" s="67">
        <v>7.7499999999999999E-2</v>
      </c>
      <c r="K95" s="68">
        <v>0.9</v>
      </c>
      <c r="L95" s="69">
        <v>8</v>
      </c>
      <c r="M95" s="68">
        <v>12</v>
      </c>
      <c r="N95" s="69">
        <f t="shared" si="13"/>
        <v>465000</v>
      </c>
      <c r="O95" s="69">
        <f t="shared" si="14"/>
        <v>6066560.6589831896</v>
      </c>
      <c r="P95" s="69">
        <f t="shared" si="15"/>
        <v>282095.07064271829</v>
      </c>
      <c r="Q95" s="69">
        <f t="shared" si="16"/>
        <v>182904.92935728171</v>
      </c>
      <c r="R95" s="70">
        <v>0.606656065898319</v>
      </c>
      <c r="S95" s="69"/>
      <c r="T95" s="68"/>
      <c r="U95" s="69"/>
      <c r="V95" s="69">
        <f t="shared" si="10"/>
        <v>6066560.6589831896</v>
      </c>
      <c r="W95" s="69">
        <f t="shared" si="10"/>
        <v>282095.07064271829</v>
      </c>
      <c r="X95" s="71">
        <f t="shared" si="11"/>
        <v>6066560.6589831896</v>
      </c>
      <c r="Y95" s="71">
        <f t="shared" si="11"/>
        <v>282095.07064271829</v>
      </c>
      <c r="Z95" s="71"/>
      <c r="AA95" s="71"/>
      <c r="AB95" s="71">
        <f>Y95-Z95-AA95</f>
        <v>282095.07064271829</v>
      </c>
      <c r="AC95" s="72">
        <v>4853248.5271865511</v>
      </c>
      <c r="AD95" s="72">
        <f>AB95/J95/K95/9*M95</f>
        <v>5392498.3635406131</v>
      </c>
      <c r="AE95" s="72"/>
      <c r="AF95" s="73"/>
      <c r="AG95" s="73">
        <f t="shared" si="12"/>
        <v>282095.07064271829</v>
      </c>
      <c r="AH95" s="74">
        <f>AB95/J95/K95/8*M95</f>
        <v>6066560.6589831896</v>
      </c>
      <c r="AI95" s="74"/>
    </row>
    <row r="96" spans="1:35" s="127" customFormat="1" ht="25.5">
      <c r="A96" s="110">
        <f t="shared" si="17"/>
        <v>85</v>
      </c>
      <c r="B96" s="111" t="s">
        <v>165</v>
      </c>
      <c r="C96" s="112" t="s">
        <v>166</v>
      </c>
      <c r="D96" s="111" t="s">
        <v>40</v>
      </c>
      <c r="E96" s="113"/>
      <c r="F96" s="111"/>
      <c r="G96" s="111"/>
      <c r="H96" s="114">
        <v>43525</v>
      </c>
      <c r="I96" s="115">
        <v>25000000</v>
      </c>
      <c r="J96" s="116">
        <v>7.7499999999999999E-2</v>
      </c>
      <c r="K96" s="117">
        <v>0.9</v>
      </c>
      <c r="L96" s="118">
        <v>9</v>
      </c>
      <c r="M96" s="117">
        <v>12</v>
      </c>
      <c r="N96" s="118">
        <f t="shared" si="13"/>
        <v>1307812.5</v>
      </c>
      <c r="O96" s="118">
        <f t="shared" si="14"/>
        <v>15166401.647457974</v>
      </c>
      <c r="P96" s="118">
        <f t="shared" si="15"/>
        <v>793392.38618264522</v>
      </c>
      <c r="Q96" s="118">
        <f t="shared" si="16"/>
        <v>514420.11381735478</v>
      </c>
      <c r="R96" s="119">
        <v>0.606656065898319</v>
      </c>
      <c r="S96" s="143">
        <v>25000000</v>
      </c>
      <c r="T96" s="142">
        <v>1453125</v>
      </c>
      <c r="U96" s="120">
        <f>P96</f>
        <v>793392.38618264522</v>
      </c>
      <c r="V96" s="118">
        <f t="shared" si="10"/>
        <v>-9833598.352542026</v>
      </c>
      <c r="W96" s="118">
        <f t="shared" si="10"/>
        <v>-659732.61381735478</v>
      </c>
      <c r="X96" s="121">
        <f t="shared" si="11"/>
        <v>-9833598.352542026</v>
      </c>
      <c r="Y96" s="121">
        <f t="shared" si="11"/>
        <v>-659732.61381735478</v>
      </c>
      <c r="Z96" s="121"/>
      <c r="AA96" s="121"/>
      <c r="AB96" s="121">
        <f>Y96-Z96-AA96</f>
        <v>-659732.61381735478</v>
      </c>
      <c r="AC96" s="122">
        <v>-11350238.517287824</v>
      </c>
      <c r="AD96" s="122">
        <f>AB96/J96/K96/9*M96</f>
        <v>-12611376.130319804</v>
      </c>
      <c r="AE96" s="122"/>
      <c r="AF96" s="123"/>
      <c r="AG96" s="124">
        <f t="shared" si="12"/>
        <v>-659732.61381735478</v>
      </c>
      <c r="AH96" s="125">
        <f>AB96/J96/K96/8*M96</f>
        <v>-14187798.146609779</v>
      </c>
      <c r="AI96" s="126"/>
    </row>
    <row r="97" spans="1:35" s="127" customFormat="1" ht="25.5">
      <c r="A97" s="110">
        <f t="shared" si="17"/>
        <v>86</v>
      </c>
      <c r="B97" s="111" t="s">
        <v>167</v>
      </c>
      <c r="C97" s="112" t="s">
        <v>168</v>
      </c>
      <c r="D97" s="111" t="s">
        <v>40</v>
      </c>
      <c r="E97" s="113"/>
      <c r="F97" s="111"/>
      <c r="G97" s="111"/>
      <c r="H97" s="114">
        <v>43556</v>
      </c>
      <c r="I97" s="115">
        <v>2000000</v>
      </c>
      <c r="J97" s="116">
        <v>7.7499999999999999E-2</v>
      </c>
      <c r="K97" s="117">
        <v>0.9</v>
      </c>
      <c r="L97" s="118">
        <v>8</v>
      </c>
      <c r="M97" s="117">
        <v>12</v>
      </c>
      <c r="N97" s="118">
        <f t="shared" si="13"/>
        <v>93000</v>
      </c>
      <c r="O97" s="118">
        <f t="shared" si="14"/>
        <v>1213312.131796638</v>
      </c>
      <c r="P97" s="118">
        <f t="shared" si="15"/>
        <v>56419.014128543669</v>
      </c>
      <c r="Q97" s="118">
        <f t="shared" si="16"/>
        <v>36580.985871456331</v>
      </c>
      <c r="R97" s="119">
        <v>0.606656065898319</v>
      </c>
      <c r="S97" s="143">
        <v>2000000</v>
      </c>
      <c r="T97" s="142">
        <v>116250</v>
      </c>
      <c r="U97" s="120">
        <f>P97</f>
        <v>56419.014128543669</v>
      </c>
      <c r="V97" s="118">
        <f t="shared" si="10"/>
        <v>-786687.86820336198</v>
      </c>
      <c r="W97" s="118">
        <f t="shared" si="10"/>
        <v>-59830.985871456331</v>
      </c>
      <c r="X97" s="121">
        <f t="shared" si="11"/>
        <v>-786687.86820336198</v>
      </c>
      <c r="Y97" s="121">
        <f t="shared" si="11"/>
        <v>-59830.985871456331</v>
      </c>
      <c r="Z97" s="121"/>
      <c r="AA97" s="121"/>
      <c r="AB97" s="121">
        <f>Y97-Z97-AA97</f>
        <v>-59830.985871456331</v>
      </c>
      <c r="AC97" s="122">
        <v>-1029350.2945626895</v>
      </c>
      <c r="AD97" s="122">
        <f>AB97/J97/K97/9*M97</f>
        <v>-1143722.5495140993</v>
      </c>
      <c r="AE97" s="122"/>
      <c r="AF97" s="123"/>
      <c r="AG97" s="124">
        <f t="shared" si="12"/>
        <v>-59830.985871456331</v>
      </c>
      <c r="AH97" s="125">
        <f>AB97/J97/K97/8*M97</f>
        <v>-1286687.8682033618</v>
      </c>
      <c r="AI97" s="126"/>
    </row>
    <row r="98" spans="1:35" s="75" customFormat="1" ht="25.5">
      <c r="A98" s="62">
        <f t="shared" si="17"/>
        <v>87</v>
      </c>
      <c r="B98" s="63" t="s">
        <v>169</v>
      </c>
      <c r="C98" s="64" t="s">
        <v>170</v>
      </c>
      <c r="D98" s="63" t="s">
        <v>40</v>
      </c>
      <c r="E98" s="63" t="s">
        <v>41</v>
      </c>
      <c r="F98" s="63"/>
      <c r="G98" s="63"/>
      <c r="H98" s="65">
        <v>43525</v>
      </c>
      <c r="I98" s="66">
        <v>10000000</v>
      </c>
      <c r="J98" s="67">
        <v>7.7499999999999999E-2</v>
      </c>
      <c r="K98" s="68">
        <v>0.9</v>
      </c>
      <c r="L98" s="69">
        <v>9</v>
      </c>
      <c r="M98" s="68">
        <v>12</v>
      </c>
      <c r="N98" s="69">
        <f t="shared" si="13"/>
        <v>523125</v>
      </c>
      <c r="O98" s="69">
        <f t="shared" si="14"/>
        <v>6066560.6589831896</v>
      </c>
      <c r="P98" s="69">
        <f t="shared" si="15"/>
        <v>317356.95447305811</v>
      </c>
      <c r="Q98" s="69">
        <f t="shared" si="16"/>
        <v>205768.04552694189</v>
      </c>
      <c r="R98" s="70">
        <v>0.606656065898319</v>
      </c>
      <c r="S98" s="69"/>
      <c r="T98" s="68"/>
      <c r="U98" s="69"/>
      <c r="V98" s="69">
        <f t="shared" si="10"/>
        <v>6066560.6589831896</v>
      </c>
      <c r="W98" s="69">
        <f t="shared" si="10"/>
        <v>317356.95447305811</v>
      </c>
      <c r="X98" s="71">
        <f t="shared" si="11"/>
        <v>6066560.6589831896</v>
      </c>
      <c r="Y98" s="71">
        <f t="shared" si="11"/>
        <v>317356.95447305811</v>
      </c>
      <c r="Z98" s="71"/>
      <c r="AA98" s="71"/>
      <c r="AB98" s="71">
        <f>Y98-Z98-AA98</f>
        <v>317356.95447305811</v>
      </c>
      <c r="AC98" s="72">
        <v>5459904.5930848699</v>
      </c>
      <c r="AD98" s="72">
        <f>AB98/J98/K98/9*M98</f>
        <v>6066560.6589831896</v>
      </c>
      <c r="AE98" s="72"/>
      <c r="AF98" s="73"/>
      <c r="AG98" s="73">
        <f t="shared" si="12"/>
        <v>317356.95447305811</v>
      </c>
      <c r="AH98" s="74">
        <f>AB98/J98/K98/8*M98</f>
        <v>6824880.7413560878</v>
      </c>
      <c r="AI98" s="74"/>
    </row>
    <row r="99" spans="1:35" s="127" customFormat="1" ht="25.5">
      <c r="A99" s="110">
        <f t="shared" si="17"/>
        <v>88</v>
      </c>
      <c r="B99" s="111" t="s">
        <v>171</v>
      </c>
      <c r="C99" s="112" t="s">
        <v>172</v>
      </c>
      <c r="D99" s="111" t="s">
        <v>40</v>
      </c>
      <c r="E99" s="113" t="s">
        <v>41</v>
      </c>
      <c r="F99" s="111"/>
      <c r="G99" s="111"/>
      <c r="H99" s="114">
        <v>43525</v>
      </c>
      <c r="I99" s="115">
        <v>4000000</v>
      </c>
      <c r="J99" s="116">
        <v>7.7499999999999999E-2</v>
      </c>
      <c r="K99" s="117">
        <v>0.9</v>
      </c>
      <c r="L99" s="118">
        <v>9</v>
      </c>
      <c r="M99" s="117">
        <v>12</v>
      </c>
      <c r="N99" s="118">
        <f t="shared" si="13"/>
        <v>209250</v>
      </c>
      <c r="O99" s="118">
        <f t="shared" si="14"/>
        <v>2426624.263593276</v>
      </c>
      <c r="P99" s="118">
        <f t="shared" si="15"/>
        <v>126942.78178922326</v>
      </c>
      <c r="Q99" s="118">
        <f t="shared" si="16"/>
        <v>82307.218210776744</v>
      </c>
      <c r="R99" s="119">
        <v>0.606656065898319</v>
      </c>
      <c r="S99" s="118"/>
      <c r="T99" s="117"/>
      <c r="U99" s="120"/>
      <c r="V99" s="118">
        <f t="shared" si="10"/>
        <v>2426624.263593276</v>
      </c>
      <c r="W99" s="118">
        <f t="shared" si="10"/>
        <v>126942.78178922326</v>
      </c>
      <c r="X99" s="121">
        <f t="shared" si="11"/>
        <v>2426624.263593276</v>
      </c>
      <c r="Y99" s="121">
        <f t="shared" si="11"/>
        <v>126942.78178922326</v>
      </c>
      <c r="Z99" s="121">
        <v>126886.88</v>
      </c>
      <c r="AA99" s="121"/>
      <c r="AB99" s="121">
        <f>Y99-Z99-AA99</f>
        <v>55.901789223251399</v>
      </c>
      <c r="AC99" s="122">
        <v>961.83723394852132</v>
      </c>
      <c r="AD99" s="122">
        <f>AB99/J99/K99/9*M99</f>
        <v>1068.6124582700388</v>
      </c>
      <c r="AE99" s="122"/>
      <c r="AF99" s="123"/>
      <c r="AG99" s="124">
        <f t="shared" si="12"/>
        <v>55.901789223251399</v>
      </c>
      <c r="AH99" s="154">
        <f>AB99/J99/K99/8*M99</f>
        <v>1202.1890155537935</v>
      </c>
      <c r="AI99" s="126"/>
    </row>
    <row r="100" spans="1:35" s="155" customFormat="1">
      <c r="A100" s="145">
        <f t="shared" si="17"/>
        <v>89</v>
      </c>
      <c r="B100" s="113" t="s">
        <v>173</v>
      </c>
      <c r="C100" s="146" t="s">
        <v>174</v>
      </c>
      <c r="D100" s="113" t="s">
        <v>73</v>
      </c>
      <c r="E100" s="113" t="s">
        <v>41</v>
      </c>
      <c r="F100" s="113"/>
      <c r="G100" s="113"/>
      <c r="H100" s="147">
        <v>43497</v>
      </c>
      <c r="I100" s="148">
        <v>1000000</v>
      </c>
      <c r="J100" s="149">
        <v>7.7499999999999999E-2</v>
      </c>
      <c r="K100" s="150">
        <v>0.9</v>
      </c>
      <c r="L100" s="120">
        <v>10</v>
      </c>
      <c r="M100" s="150">
        <v>12</v>
      </c>
      <c r="N100" s="120">
        <f t="shared" si="13"/>
        <v>58125</v>
      </c>
      <c r="O100" s="120">
        <f t="shared" si="14"/>
        <v>606656.06589831901</v>
      </c>
      <c r="P100" s="120">
        <f t="shared" si="15"/>
        <v>35261.883830339793</v>
      </c>
      <c r="Q100" s="120">
        <f t="shared" si="16"/>
        <v>22863.116169660207</v>
      </c>
      <c r="R100" s="151">
        <v>0.606656065898319</v>
      </c>
      <c r="S100" s="120"/>
      <c r="T100" s="150"/>
      <c r="U100" s="120"/>
      <c r="V100" s="120">
        <f t="shared" si="10"/>
        <v>606656.06589831901</v>
      </c>
      <c r="W100" s="120">
        <f t="shared" si="10"/>
        <v>35261.883830339793</v>
      </c>
      <c r="X100" s="152">
        <f t="shared" si="11"/>
        <v>606656.06589831901</v>
      </c>
      <c r="Y100" s="152">
        <f t="shared" si="11"/>
        <v>35261.883830339793</v>
      </c>
      <c r="Z100" s="152"/>
      <c r="AA100" s="152"/>
      <c r="AB100" s="152">
        <f>Y100-Z100-AA100-35261.88</f>
        <v>3.8303397959680296E-3</v>
      </c>
      <c r="AC100" s="153">
        <v>606656.06589831901</v>
      </c>
      <c r="AD100" s="153">
        <f>AB100/J100/K100/9*M100</f>
        <v>7.3220354522686354E-2</v>
      </c>
      <c r="AE100" s="153"/>
      <c r="AF100" s="124">
        <v>-35261.879999999997</v>
      </c>
      <c r="AG100" s="124">
        <f t="shared" si="12"/>
        <v>-35261.876169660201</v>
      </c>
      <c r="AH100" s="154">
        <f>AB100/J100/K100/8*M100</f>
        <v>8.2372898838022152E-2</v>
      </c>
      <c r="AI100" s="154"/>
    </row>
    <row r="101" spans="1:35" s="127" customFormat="1" ht="25.5">
      <c r="A101" s="110">
        <f t="shared" si="17"/>
        <v>90</v>
      </c>
      <c r="B101" s="111" t="s">
        <v>175</v>
      </c>
      <c r="C101" s="112" t="s">
        <v>176</v>
      </c>
      <c r="D101" s="111" t="s">
        <v>40</v>
      </c>
      <c r="E101" s="113" t="s">
        <v>41</v>
      </c>
      <c r="F101" s="111"/>
      <c r="G101" s="111"/>
      <c r="H101" s="114">
        <v>43525</v>
      </c>
      <c r="I101" s="115">
        <v>20000000</v>
      </c>
      <c r="J101" s="116">
        <v>7.7499999999999999E-2</v>
      </c>
      <c r="K101" s="117">
        <v>0.9</v>
      </c>
      <c r="L101" s="118">
        <v>9</v>
      </c>
      <c r="M101" s="117">
        <v>12</v>
      </c>
      <c r="N101" s="118">
        <f t="shared" si="13"/>
        <v>1046250</v>
      </c>
      <c r="O101" s="118">
        <f t="shared" si="14"/>
        <v>12133121.317966379</v>
      </c>
      <c r="P101" s="118">
        <f t="shared" si="15"/>
        <v>634713.90894611622</v>
      </c>
      <c r="Q101" s="118">
        <f t="shared" si="16"/>
        <v>411536.09105388378</v>
      </c>
      <c r="R101" s="119">
        <v>0.606656065898319</v>
      </c>
      <c r="S101" s="118"/>
      <c r="T101" s="117"/>
      <c r="U101" s="120"/>
      <c r="V101" s="118">
        <f t="shared" si="10"/>
        <v>12133121.317966379</v>
      </c>
      <c r="W101" s="118">
        <f t="shared" si="10"/>
        <v>634713.90894611622</v>
      </c>
      <c r="X101" s="121">
        <f t="shared" si="11"/>
        <v>12133121.317966379</v>
      </c>
      <c r="Y101" s="121">
        <f t="shared" si="11"/>
        <v>634713.90894611622</v>
      </c>
      <c r="Z101" s="121"/>
      <c r="AA101" s="121">
        <f>706218.75-AA102</f>
        <v>634713.91</v>
      </c>
      <c r="AB101" s="121">
        <f>Y101-Z101-AA101</f>
        <v>-1.0538838105276227E-3</v>
      </c>
      <c r="AC101" s="122">
        <v>-1063550.6490844637</v>
      </c>
      <c r="AD101" s="122">
        <f>AB101/J101/K101/9*M101</f>
        <v>-2.0145927082965309E-2</v>
      </c>
      <c r="AE101" s="122"/>
      <c r="AF101" s="123"/>
      <c r="AG101" s="124">
        <f t="shared" si="12"/>
        <v>-1.0538838105276227E-3</v>
      </c>
      <c r="AH101" s="125">
        <f>AB101/J101/K101/8*M101</f>
        <v>-2.2664167968335973E-2</v>
      </c>
      <c r="AI101" s="126"/>
    </row>
    <row r="102" spans="1:35" s="75" customFormat="1" ht="25.5">
      <c r="A102" s="62">
        <f t="shared" si="17"/>
        <v>91</v>
      </c>
      <c r="B102" s="63" t="s">
        <v>175</v>
      </c>
      <c r="C102" s="64" t="s">
        <v>176</v>
      </c>
      <c r="D102" s="63" t="s">
        <v>40</v>
      </c>
      <c r="E102" s="63" t="s">
        <v>41</v>
      </c>
      <c r="F102" s="63"/>
      <c r="G102" s="63"/>
      <c r="H102" s="65">
        <v>43647</v>
      </c>
      <c r="I102" s="66">
        <v>5000000</v>
      </c>
      <c r="J102" s="67">
        <v>7.7499999999999999E-2</v>
      </c>
      <c r="K102" s="68">
        <v>0.9</v>
      </c>
      <c r="L102" s="69">
        <v>5</v>
      </c>
      <c r="M102" s="68">
        <v>12</v>
      </c>
      <c r="N102" s="69">
        <f t="shared" si="13"/>
        <v>145312.5</v>
      </c>
      <c r="O102" s="69">
        <f t="shared" si="14"/>
        <v>3033280.3294915948</v>
      </c>
      <c r="P102" s="69">
        <f t="shared" si="15"/>
        <v>88154.709575849469</v>
      </c>
      <c r="Q102" s="69">
        <f t="shared" si="16"/>
        <v>57157.790424150531</v>
      </c>
      <c r="R102" s="70">
        <v>0.606656065898319</v>
      </c>
      <c r="S102" s="69"/>
      <c r="T102" s="68"/>
      <c r="U102" s="69"/>
      <c r="V102" s="69">
        <f t="shared" si="10"/>
        <v>3033280.3294915948</v>
      </c>
      <c r="W102" s="69">
        <f t="shared" si="10"/>
        <v>88154.709575849469</v>
      </c>
      <c r="X102" s="71">
        <f t="shared" si="11"/>
        <v>3033280.3294915948</v>
      </c>
      <c r="Y102" s="71">
        <f t="shared" si="11"/>
        <v>88154.709575849469</v>
      </c>
      <c r="Z102" s="90"/>
      <c r="AA102" s="90">
        <v>71504.84</v>
      </c>
      <c r="AB102" s="71">
        <f>Y102-Z102-AA102</f>
        <v>16649.869575849472</v>
      </c>
      <c r="AC102" s="72">
        <v>0</v>
      </c>
      <c r="AD102" s="72">
        <f>AB102/J102/K102/9*M102</f>
        <v>318277.07671874738</v>
      </c>
      <c r="AE102" s="72"/>
      <c r="AF102" s="73"/>
      <c r="AG102" s="73">
        <f t="shared" si="12"/>
        <v>16649.869575849472</v>
      </c>
      <c r="AH102" s="74">
        <f>AB102/J102/K102/8*M102</f>
        <v>358061.71130859083</v>
      </c>
      <c r="AI102" s="74"/>
    </row>
    <row r="103" spans="1:35" s="127" customFormat="1" ht="25.5">
      <c r="A103" s="110">
        <f t="shared" si="17"/>
        <v>92</v>
      </c>
      <c r="B103" s="111" t="s">
        <v>177</v>
      </c>
      <c r="C103" s="112" t="s">
        <v>178</v>
      </c>
      <c r="D103" s="111" t="s">
        <v>40</v>
      </c>
      <c r="E103" s="113"/>
      <c r="F103" s="111"/>
      <c r="G103" s="111"/>
      <c r="H103" s="114">
        <v>43497</v>
      </c>
      <c r="I103" s="115">
        <v>20000000</v>
      </c>
      <c r="J103" s="116">
        <v>7.7499999999999999E-2</v>
      </c>
      <c r="K103" s="117">
        <v>0.9</v>
      </c>
      <c r="L103" s="118">
        <v>10</v>
      </c>
      <c r="M103" s="117">
        <v>12</v>
      </c>
      <c r="N103" s="118">
        <f t="shared" si="13"/>
        <v>1162500</v>
      </c>
      <c r="O103" s="118">
        <f t="shared" si="14"/>
        <v>12133121.317966379</v>
      </c>
      <c r="P103" s="118">
        <f t="shared" si="15"/>
        <v>705237.67660679575</v>
      </c>
      <c r="Q103" s="118">
        <f t="shared" si="16"/>
        <v>457262.32339320425</v>
      </c>
      <c r="R103" s="119">
        <v>0.606656065898319</v>
      </c>
      <c r="S103" s="118">
        <v>60000000</v>
      </c>
      <c r="T103" s="142">
        <f>3487500-T104-T105-T106</f>
        <v>2253334.0699999998</v>
      </c>
      <c r="U103" s="120">
        <f>P103</f>
        <v>705237.67660679575</v>
      </c>
      <c r="V103" s="118">
        <f t="shared" si="10"/>
        <v>-47866878.682033621</v>
      </c>
      <c r="W103" s="118">
        <f t="shared" si="10"/>
        <v>-1548096.3933932041</v>
      </c>
      <c r="X103" s="121">
        <f t="shared" si="11"/>
        <v>-47866878.682033621</v>
      </c>
      <c r="Y103" s="121">
        <f t="shared" si="11"/>
        <v>-1548096.3933932041</v>
      </c>
      <c r="Z103" s="121"/>
      <c r="AA103" s="121"/>
      <c r="AB103" s="121">
        <f>Y103-Z103-AA103</f>
        <v>-1548096.3933932041</v>
      </c>
      <c r="AC103" s="122">
        <v>-26633916.375592455</v>
      </c>
      <c r="AD103" s="122">
        <f>AB103/J103/K103/9*M103</f>
        <v>-29593240.49497164</v>
      </c>
      <c r="AE103" s="122"/>
      <c r="AF103" s="123"/>
      <c r="AG103" s="124">
        <f t="shared" si="12"/>
        <v>-1548096.3933932041</v>
      </c>
      <c r="AH103" s="125">
        <f>AB103/J103/K103/8*M103</f>
        <v>-33292395.556843098</v>
      </c>
      <c r="AI103" s="126"/>
    </row>
    <row r="104" spans="1:35" s="127" customFormat="1" ht="25.5">
      <c r="A104" s="110">
        <f t="shared" si="17"/>
        <v>93</v>
      </c>
      <c r="B104" s="111" t="s">
        <v>177</v>
      </c>
      <c r="C104" s="112" t="s">
        <v>178</v>
      </c>
      <c r="D104" s="111" t="s">
        <v>40</v>
      </c>
      <c r="E104" s="113"/>
      <c r="F104" s="111"/>
      <c r="G104" s="111"/>
      <c r="H104" s="114">
        <v>43525</v>
      </c>
      <c r="I104" s="115">
        <v>20000000</v>
      </c>
      <c r="J104" s="116">
        <v>7.7499999999999999E-2</v>
      </c>
      <c r="K104" s="117">
        <v>0.9</v>
      </c>
      <c r="L104" s="118">
        <v>9</v>
      </c>
      <c r="M104" s="117">
        <v>12</v>
      </c>
      <c r="N104" s="118">
        <f t="shared" si="13"/>
        <v>1046250</v>
      </c>
      <c r="O104" s="118">
        <f t="shared" si="14"/>
        <v>12133121.317966379</v>
      </c>
      <c r="P104" s="118">
        <f t="shared" si="15"/>
        <v>634713.90894611622</v>
      </c>
      <c r="Q104" s="118">
        <f t="shared" si="16"/>
        <v>411536.09105388378</v>
      </c>
      <c r="R104" s="119">
        <v>0.606656065898319</v>
      </c>
      <c r="S104" s="118"/>
      <c r="T104" s="117">
        <v>634713.91</v>
      </c>
      <c r="U104" s="120">
        <f>P104</f>
        <v>634713.90894611622</v>
      </c>
      <c r="V104" s="118">
        <f t="shared" si="10"/>
        <v>12133121.317966379</v>
      </c>
      <c r="W104" s="118">
        <f t="shared" si="10"/>
        <v>-1.0538838105276227E-3</v>
      </c>
      <c r="X104" s="121">
        <f t="shared" si="11"/>
        <v>12133121.317966379</v>
      </c>
      <c r="Y104" s="121">
        <f t="shared" si="11"/>
        <v>-1.0538838105276227E-3</v>
      </c>
      <c r="Z104" s="144"/>
      <c r="AA104" s="144"/>
      <c r="AB104" s="121">
        <f>Y104-Z104-AA104</f>
        <v>-1.0538838105276227E-3</v>
      </c>
      <c r="AC104" s="122">
        <v>0</v>
      </c>
      <c r="AD104" s="122">
        <f>AB104/J104/K104/9*M104</f>
        <v>-2.0145927082965309E-2</v>
      </c>
      <c r="AE104" s="122"/>
      <c r="AF104" s="123"/>
      <c r="AG104" s="124">
        <f t="shared" si="12"/>
        <v>-1.0538838105276227E-3</v>
      </c>
      <c r="AH104" s="125">
        <f>AB104/J104/K104/8*M104</f>
        <v>-2.2664167968335973E-2</v>
      </c>
      <c r="AI104" s="126"/>
    </row>
    <row r="105" spans="1:35" s="127" customFormat="1" ht="25.5">
      <c r="A105" s="110">
        <f t="shared" si="17"/>
        <v>94</v>
      </c>
      <c r="B105" s="111" t="s">
        <v>177</v>
      </c>
      <c r="C105" s="112" t="s">
        <v>178</v>
      </c>
      <c r="D105" s="111" t="s">
        <v>40</v>
      </c>
      <c r="E105" s="113"/>
      <c r="F105" s="111"/>
      <c r="G105" s="111"/>
      <c r="H105" s="114">
        <v>43586</v>
      </c>
      <c r="I105" s="115">
        <v>20000000</v>
      </c>
      <c r="J105" s="116">
        <v>7.7499999999999999E-2</v>
      </c>
      <c r="K105" s="117">
        <v>0.9</v>
      </c>
      <c r="L105" s="118">
        <v>7</v>
      </c>
      <c r="M105" s="117">
        <v>12</v>
      </c>
      <c r="N105" s="118">
        <f t="shared" si="13"/>
        <v>813750</v>
      </c>
      <c r="O105" s="118">
        <f t="shared" si="14"/>
        <v>12133121.317966379</v>
      </c>
      <c r="P105" s="118">
        <f t="shared" si="15"/>
        <v>493666.37362475699</v>
      </c>
      <c r="Q105" s="118">
        <f t="shared" si="16"/>
        <v>320083.62637524301</v>
      </c>
      <c r="R105" s="119">
        <v>0.606656065898319</v>
      </c>
      <c r="S105" s="118"/>
      <c r="T105" s="117">
        <v>493666.37</v>
      </c>
      <c r="U105" s="120">
        <f>P105</f>
        <v>493666.37362475699</v>
      </c>
      <c r="V105" s="118">
        <f t="shared" si="10"/>
        <v>12133121.317966379</v>
      </c>
      <c r="W105" s="118">
        <f t="shared" si="10"/>
        <v>3.6247569951228797E-3</v>
      </c>
      <c r="X105" s="121">
        <f t="shared" si="11"/>
        <v>12133121.317966379</v>
      </c>
      <c r="Y105" s="121">
        <f t="shared" si="11"/>
        <v>3.6247569951228797E-3</v>
      </c>
      <c r="Z105" s="144"/>
      <c r="AA105" s="144"/>
      <c r="AB105" s="121">
        <f>Y105-Z105-AA105</f>
        <v>3.6247569951228797E-3</v>
      </c>
      <c r="AC105" s="122">
        <v>0</v>
      </c>
      <c r="AD105" s="122">
        <f>AB105/J105/K105/9*M105</f>
        <v>6.9290456298645262E-2</v>
      </c>
      <c r="AE105" s="122"/>
      <c r="AF105" s="123"/>
      <c r="AG105" s="124">
        <f t="shared" si="12"/>
        <v>3.6247569951228797E-3</v>
      </c>
      <c r="AH105" s="154">
        <f>AB105/J105/K105/8*M105</f>
        <v>7.7951763335975921E-2</v>
      </c>
      <c r="AI105" s="126"/>
    </row>
    <row r="106" spans="1:35" s="127" customFormat="1" ht="25.5">
      <c r="A106" s="110">
        <f t="shared" si="17"/>
        <v>95</v>
      </c>
      <c r="B106" s="111" t="s">
        <v>177</v>
      </c>
      <c r="C106" s="112" t="s">
        <v>178</v>
      </c>
      <c r="D106" s="111" t="s">
        <v>40</v>
      </c>
      <c r="E106" s="113"/>
      <c r="F106" s="111"/>
      <c r="G106" s="111"/>
      <c r="H106" s="114">
        <v>43770</v>
      </c>
      <c r="I106" s="115">
        <v>30000000</v>
      </c>
      <c r="J106" s="116">
        <v>7.7499999999999999E-2</v>
      </c>
      <c r="K106" s="117">
        <v>0.9</v>
      </c>
      <c r="L106" s="118">
        <v>1</v>
      </c>
      <c r="M106" s="117">
        <v>12</v>
      </c>
      <c r="N106" s="118">
        <f t="shared" si="13"/>
        <v>174375</v>
      </c>
      <c r="O106" s="118">
        <f t="shared" si="14"/>
        <v>18199681.976949569</v>
      </c>
      <c r="P106" s="118">
        <f t="shared" si="15"/>
        <v>105785.65149101937</v>
      </c>
      <c r="Q106" s="118">
        <f t="shared" si="16"/>
        <v>68589.348508980635</v>
      </c>
      <c r="R106" s="119">
        <v>0.606656065898319</v>
      </c>
      <c r="S106" s="118"/>
      <c r="T106" s="117">
        <v>105785.65</v>
      </c>
      <c r="U106" s="120">
        <f>P106</f>
        <v>105785.65149101937</v>
      </c>
      <c r="V106" s="118">
        <f t="shared" si="10"/>
        <v>18199681.976949569</v>
      </c>
      <c r="W106" s="118">
        <f t="shared" si="10"/>
        <v>1.4910193713149056E-3</v>
      </c>
      <c r="X106" s="121">
        <f t="shared" si="11"/>
        <v>18199681.976949569</v>
      </c>
      <c r="Y106" s="121">
        <f t="shared" si="11"/>
        <v>1.4910193713149056E-3</v>
      </c>
      <c r="Z106" s="144"/>
      <c r="AA106" s="144"/>
      <c r="AB106" s="121">
        <f>Y106-Z106-AA106</f>
        <v>1.4910193713149056E-3</v>
      </c>
      <c r="AC106" s="122">
        <v>0</v>
      </c>
      <c r="AD106" s="122">
        <f>AB106/J106/K106/9*M106</f>
        <v>2.8502162414621855E-2</v>
      </c>
      <c r="AE106" s="122"/>
      <c r="AF106" s="123"/>
      <c r="AG106" s="124">
        <f t="shared" si="12"/>
        <v>1.4910193713149056E-3</v>
      </c>
      <c r="AH106" s="154">
        <f>AB106/J106/K106/8*M106</f>
        <v>3.2064932716449585E-2</v>
      </c>
      <c r="AI106" s="126"/>
    </row>
    <row r="107" spans="1:35" s="127" customFormat="1" ht="25.5">
      <c r="A107" s="110">
        <f t="shared" si="17"/>
        <v>96</v>
      </c>
      <c r="B107" s="111" t="s">
        <v>177</v>
      </c>
      <c r="C107" s="112" t="s">
        <v>178</v>
      </c>
      <c r="D107" s="111" t="s">
        <v>80</v>
      </c>
      <c r="E107" s="113"/>
      <c r="F107" s="111"/>
      <c r="G107" s="111"/>
      <c r="H107" s="114">
        <v>43800</v>
      </c>
      <c r="I107" s="115">
        <v>10000000</v>
      </c>
      <c r="J107" s="116">
        <v>7.7499999999999999E-2</v>
      </c>
      <c r="K107" s="117">
        <v>0.9</v>
      </c>
      <c r="L107" s="118">
        <v>0</v>
      </c>
      <c r="M107" s="117">
        <v>12</v>
      </c>
      <c r="N107" s="118">
        <f t="shared" si="13"/>
        <v>0</v>
      </c>
      <c r="O107" s="118">
        <f t="shared" si="14"/>
        <v>6066560.6589831896</v>
      </c>
      <c r="P107" s="118">
        <f t="shared" si="15"/>
        <v>0</v>
      </c>
      <c r="Q107" s="118">
        <f t="shared" si="16"/>
        <v>0</v>
      </c>
      <c r="R107" s="119">
        <v>0.606656065898319</v>
      </c>
      <c r="S107" s="118"/>
      <c r="T107" s="117"/>
      <c r="U107" s="120"/>
      <c r="V107" s="118">
        <f t="shared" si="10"/>
        <v>6066560.6589831896</v>
      </c>
      <c r="W107" s="118">
        <f t="shared" si="10"/>
        <v>0</v>
      </c>
      <c r="X107" s="121">
        <f t="shared" si="11"/>
        <v>6066560.6589831896</v>
      </c>
      <c r="Y107" s="121">
        <f t="shared" si="11"/>
        <v>0</v>
      </c>
      <c r="Z107" s="144"/>
      <c r="AA107" s="144"/>
      <c r="AB107" s="121">
        <f>Y107-Z107-AA107</f>
        <v>0</v>
      </c>
      <c r="AC107" s="122">
        <v>0</v>
      </c>
      <c r="AD107" s="122">
        <f>AB107/J107/K107/9*M107</f>
        <v>0</v>
      </c>
      <c r="AE107" s="122"/>
      <c r="AF107" s="123"/>
      <c r="AG107" s="124">
        <f t="shared" si="12"/>
        <v>0</v>
      </c>
      <c r="AH107" s="154">
        <f>AB107/J107/K107/8*M107</f>
        <v>0</v>
      </c>
      <c r="AI107" s="126"/>
    </row>
    <row r="108" spans="1:35" s="75" customFormat="1" ht="25.5">
      <c r="A108" s="62">
        <f t="shared" si="17"/>
        <v>97</v>
      </c>
      <c r="B108" s="63" t="s">
        <v>179</v>
      </c>
      <c r="C108" s="64" t="s">
        <v>180</v>
      </c>
      <c r="D108" s="63" t="s">
        <v>40</v>
      </c>
      <c r="E108" s="63" t="s">
        <v>41</v>
      </c>
      <c r="F108" s="63"/>
      <c r="G108" s="63"/>
      <c r="H108" s="65">
        <v>43525</v>
      </c>
      <c r="I108" s="66">
        <v>1000000</v>
      </c>
      <c r="J108" s="67">
        <v>7.7499999999999999E-2</v>
      </c>
      <c r="K108" s="68">
        <v>0.9</v>
      </c>
      <c r="L108" s="69">
        <v>9</v>
      </c>
      <c r="M108" s="68">
        <v>12</v>
      </c>
      <c r="N108" s="69">
        <f t="shared" si="13"/>
        <v>52312.5</v>
      </c>
      <c r="O108" s="69">
        <f t="shared" si="14"/>
        <v>606656.06589831901</v>
      </c>
      <c r="P108" s="69">
        <f t="shared" si="15"/>
        <v>31735.695447305814</v>
      </c>
      <c r="Q108" s="69">
        <f t="shared" si="16"/>
        <v>20576.804552694186</v>
      </c>
      <c r="R108" s="70">
        <v>0.606656065898319</v>
      </c>
      <c r="S108" s="69"/>
      <c r="T108" s="68"/>
      <c r="U108" s="69"/>
      <c r="V108" s="69">
        <f t="shared" si="10"/>
        <v>606656.06589831901</v>
      </c>
      <c r="W108" s="69">
        <f t="shared" si="10"/>
        <v>31735.695447305814</v>
      </c>
      <c r="X108" s="71">
        <f t="shared" si="11"/>
        <v>606656.06589831901</v>
      </c>
      <c r="Y108" s="71">
        <f t="shared" si="11"/>
        <v>31735.695447305814</v>
      </c>
      <c r="Z108" s="71"/>
      <c r="AA108" s="71"/>
      <c r="AB108" s="71">
        <f>Y108-Z108-AA108</f>
        <v>31735.695447305814</v>
      </c>
      <c r="AC108" s="72">
        <v>1091980.9186169743</v>
      </c>
      <c r="AD108" s="72">
        <f>AB108/J108/K108/9*M108</f>
        <v>606656.06589831901</v>
      </c>
      <c r="AE108" s="72"/>
      <c r="AF108" s="73"/>
      <c r="AG108" s="73">
        <f t="shared" si="12"/>
        <v>31735.695447305814</v>
      </c>
      <c r="AH108" s="74">
        <f>AB108/J108/K108/8*M108</f>
        <v>682488.07413560885</v>
      </c>
      <c r="AI108" s="74"/>
    </row>
    <row r="109" spans="1:35" s="155" customFormat="1" ht="25.5">
      <c r="A109" s="145">
        <f t="shared" si="17"/>
        <v>98</v>
      </c>
      <c r="B109" s="113" t="s">
        <v>179</v>
      </c>
      <c r="C109" s="146" t="s">
        <v>180</v>
      </c>
      <c r="D109" s="113" t="s">
        <v>80</v>
      </c>
      <c r="E109" s="113" t="s">
        <v>41</v>
      </c>
      <c r="F109" s="113"/>
      <c r="G109" s="113"/>
      <c r="H109" s="147">
        <v>43525</v>
      </c>
      <c r="I109" s="148">
        <v>1000000</v>
      </c>
      <c r="J109" s="149">
        <v>7.7499999999999999E-2</v>
      </c>
      <c r="K109" s="150">
        <v>0.9</v>
      </c>
      <c r="L109" s="120">
        <v>9</v>
      </c>
      <c r="M109" s="150">
        <v>12</v>
      </c>
      <c r="N109" s="120">
        <f t="shared" si="13"/>
        <v>52312.5</v>
      </c>
      <c r="O109" s="120">
        <f t="shared" si="14"/>
        <v>606656.06589831901</v>
      </c>
      <c r="P109" s="120">
        <f t="shared" si="15"/>
        <v>31735.695447305814</v>
      </c>
      <c r="Q109" s="120">
        <f t="shared" si="16"/>
        <v>20576.804552694186</v>
      </c>
      <c r="R109" s="151">
        <v>0.606656065898319</v>
      </c>
      <c r="S109" s="120"/>
      <c r="T109" s="150"/>
      <c r="U109" s="120"/>
      <c r="V109" s="120">
        <f t="shared" si="10"/>
        <v>606656.06589831901</v>
      </c>
      <c r="W109" s="120">
        <f t="shared" si="10"/>
        <v>31735.695447305814</v>
      </c>
      <c r="X109" s="152">
        <f t="shared" si="11"/>
        <v>606656.06589831901</v>
      </c>
      <c r="Y109" s="152">
        <f t="shared" si="11"/>
        <v>31735.695447305814</v>
      </c>
      <c r="Z109" s="156"/>
      <c r="AA109" s="156"/>
      <c r="AB109" s="152">
        <f>Y109-Z109-AA109-31735.7</f>
        <v>-4.5526941867137793E-3</v>
      </c>
      <c r="AC109" s="153">
        <v>0</v>
      </c>
      <c r="AD109" s="153">
        <f>AB109/J109/K109/9*M109</f>
        <v>-8.702880165761108E-2</v>
      </c>
      <c r="AE109" s="153"/>
      <c r="AF109" s="124">
        <v>-31735.7</v>
      </c>
      <c r="AG109" s="124">
        <f t="shared" si="12"/>
        <v>-31735.704552694187</v>
      </c>
      <c r="AH109" s="125">
        <f>AB109/J109/K109/8*M109</f>
        <v>-9.7907401864812477E-2</v>
      </c>
      <c r="AI109" s="154"/>
    </row>
    <row r="110" spans="1:35" s="75" customFormat="1" ht="25.5">
      <c r="A110" s="62">
        <f t="shared" si="17"/>
        <v>99</v>
      </c>
      <c r="B110" s="63" t="s">
        <v>181</v>
      </c>
      <c r="C110" s="64" t="s">
        <v>182</v>
      </c>
      <c r="D110" s="63" t="s">
        <v>40</v>
      </c>
      <c r="E110" s="63" t="s">
        <v>41</v>
      </c>
      <c r="F110" s="63"/>
      <c r="G110" s="63"/>
      <c r="H110" s="65">
        <v>43525</v>
      </c>
      <c r="I110" s="66">
        <v>1000000</v>
      </c>
      <c r="J110" s="67">
        <v>7.7499999999999999E-2</v>
      </c>
      <c r="K110" s="68">
        <v>0.9</v>
      </c>
      <c r="L110" s="69">
        <v>9</v>
      </c>
      <c r="M110" s="68">
        <v>12</v>
      </c>
      <c r="N110" s="69">
        <f t="shared" si="13"/>
        <v>52312.5</v>
      </c>
      <c r="O110" s="69">
        <f t="shared" si="14"/>
        <v>606656.06589831901</v>
      </c>
      <c r="P110" s="69">
        <f t="shared" si="15"/>
        <v>31735.695447305814</v>
      </c>
      <c r="Q110" s="69">
        <f t="shared" si="16"/>
        <v>20576.804552694186</v>
      </c>
      <c r="R110" s="70">
        <v>0.606656065898319</v>
      </c>
      <c r="S110" s="69"/>
      <c r="T110" s="68"/>
      <c r="U110" s="69"/>
      <c r="V110" s="69">
        <f t="shared" si="10"/>
        <v>606656.06589831901</v>
      </c>
      <c r="W110" s="69">
        <f t="shared" si="10"/>
        <v>31735.695447305814</v>
      </c>
      <c r="X110" s="71">
        <f t="shared" si="11"/>
        <v>606656.06589831901</v>
      </c>
      <c r="Y110" s="71">
        <f t="shared" si="11"/>
        <v>31735.695447305814</v>
      </c>
      <c r="Z110" s="71"/>
      <c r="AA110" s="71"/>
      <c r="AB110" s="71">
        <f>Y110-Z110-AA110</f>
        <v>31735.695447305814</v>
      </c>
      <c r="AC110" s="72">
        <v>545990.45930848713</v>
      </c>
      <c r="AD110" s="72">
        <f>AB110/J110/K110/9*M110</f>
        <v>606656.06589831901</v>
      </c>
      <c r="AE110" s="72"/>
      <c r="AF110" s="73"/>
      <c r="AG110" s="73">
        <f t="shared" si="12"/>
        <v>31735.695447305814</v>
      </c>
      <c r="AH110" s="74">
        <f>AB110/J110/K110/8*M110</f>
        <v>682488.07413560885</v>
      </c>
      <c r="AI110" s="74"/>
    </row>
    <row r="111" spans="1:35" s="75" customFormat="1" ht="25.5">
      <c r="A111" s="62">
        <f t="shared" si="17"/>
        <v>100</v>
      </c>
      <c r="B111" s="63" t="s">
        <v>183</v>
      </c>
      <c r="C111" s="64" t="s">
        <v>184</v>
      </c>
      <c r="D111" s="63" t="s">
        <v>185</v>
      </c>
      <c r="E111" s="63" t="s">
        <v>41</v>
      </c>
      <c r="F111" s="63"/>
      <c r="G111" s="63"/>
      <c r="H111" s="65">
        <v>43525</v>
      </c>
      <c r="I111" s="66">
        <v>10000000</v>
      </c>
      <c r="J111" s="67">
        <v>7.7499999999999999E-2</v>
      </c>
      <c r="K111" s="68">
        <v>0.9</v>
      </c>
      <c r="L111" s="69">
        <v>9</v>
      </c>
      <c r="M111" s="68">
        <v>12</v>
      </c>
      <c r="N111" s="69">
        <f t="shared" si="13"/>
        <v>523125</v>
      </c>
      <c r="O111" s="69">
        <f t="shared" si="14"/>
        <v>6066560.6589831896</v>
      </c>
      <c r="P111" s="69">
        <f t="shared" si="15"/>
        <v>317356.95447305811</v>
      </c>
      <c r="Q111" s="69">
        <f t="shared" si="16"/>
        <v>205768.04552694189</v>
      </c>
      <c r="R111" s="70">
        <v>0.606656065898319</v>
      </c>
      <c r="S111" s="69"/>
      <c r="T111" s="68"/>
      <c r="U111" s="69"/>
      <c r="V111" s="69">
        <f t="shared" si="10"/>
        <v>6066560.6589831896</v>
      </c>
      <c r="W111" s="69">
        <f t="shared" si="10"/>
        <v>317356.95447305811</v>
      </c>
      <c r="X111" s="71">
        <f t="shared" si="11"/>
        <v>6066560.6589831896</v>
      </c>
      <c r="Y111" s="71">
        <f t="shared" si="11"/>
        <v>317356.95447305811</v>
      </c>
      <c r="Z111" s="71"/>
      <c r="AA111" s="71"/>
      <c r="AB111" s="71">
        <f>Y111-Z111-AA111</f>
        <v>317356.95447305811</v>
      </c>
      <c r="AC111" s="72">
        <v>6551885.5117018456</v>
      </c>
      <c r="AD111" s="72">
        <f>AB111/J111/K111/9*M111</f>
        <v>6066560.6589831896</v>
      </c>
      <c r="AE111" s="72"/>
      <c r="AF111" s="73"/>
      <c r="AG111" s="73">
        <f t="shared" si="12"/>
        <v>317356.95447305811</v>
      </c>
      <c r="AH111" s="74">
        <f>AB111/J111/K111/8*M111</f>
        <v>6824880.7413560878</v>
      </c>
      <c r="AI111" s="74"/>
    </row>
    <row r="112" spans="1:35" s="75" customFormat="1" ht="25.5">
      <c r="A112" s="62">
        <f t="shared" si="17"/>
        <v>101</v>
      </c>
      <c r="B112" s="63" t="s">
        <v>183</v>
      </c>
      <c r="C112" s="64" t="s">
        <v>184</v>
      </c>
      <c r="D112" s="63" t="s">
        <v>80</v>
      </c>
      <c r="E112" s="63" t="s">
        <v>41</v>
      </c>
      <c r="F112" s="63"/>
      <c r="G112" s="63"/>
      <c r="H112" s="65">
        <v>43525</v>
      </c>
      <c r="I112" s="66">
        <v>2000000</v>
      </c>
      <c r="J112" s="67">
        <v>7.7499999999999999E-2</v>
      </c>
      <c r="K112" s="68">
        <v>0.9</v>
      </c>
      <c r="L112" s="69">
        <v>9</v>
      </c>
      <c r="M112" s="68">
        <v>12</v>
      </c>
      <c r="N112" s="69">
        <f t="shared" si="13"/>
        <v>104625</v>
      </c>
      <c r="O112" s="69">
        <f t="shared" si="14"/>
        <v>1213312.131796638</v>
      </c>
      <c r="P112" s="69">
        <f t="shared" si="15"/>
        <v>63471.390894611628</v>
      </c>
      <c r="Q112" s="69">
        <f t="shared" si="16"/>
        <v>41153.609105388372</v>
      </c>
      <c r="R112" s="70">
        <v>0.606656065898319</v>
      </c>
      <c r="S112" s="69"/>
      <c r="T112" s="68"/>
      <c r="U112" s="69"/>
      <c r="V112" s="69">
        <f t="shared" si="10"/>
        <v>1213312.131796638</v>
      </c>
      <c r="W112" s="69">
        <f t="shared" si="10"/>
        <v>63471.390894611628</v>
      </c>
      <c r="X112" s="71">
        <f t="shared" si="11"/>
        <v>1213312.131796638</v>
      </c>
      <c r="Y112" s="71">
        <f t="shared" si="11"/>
        <v>63471.390894611628</v>
      </c>
      <c r="Z112" s="90"/>
      <c r="AA112" s="90"/>
      <c r="AB112" s="71">
        <f>Y112-Z112-AA112</f>
        <v>63471.390894611628</v>
      </c>
      <c r="AC112" s="72">
        <v>0</v>
      </c>
      <c r="AD112" s="72">
        <f>AB112/J112/K112/9*M112</f>
        <v>1213312.131796638</v>
      </c>
      <c r="AE112" s="72"/>
      <c r="AF112" s="73"/>
      <c r="AG112" s="73">
        <f t="shared" si="12"/>
        <v>63471.390894611628</v>
      </c>
      <c r="AH112" s="74">
        <f>AB112/J112/K112/8*M112</f>
        <v>1364976.1482712177</v>
      </c>
      <c r="AI112" s="74"/>
    </row>
    <row r="113" spans="1:35" s="127" customFormat="1" ht="25.5">
      <c r="A113" s="110">
        <f t="shared" si="17"/>
        <v>102</v>
      </c>
      <c r="B113" s="111" t="s">
        <v>186</v>
      </c>
      <c r="C113" s="112" t="s">
        <v>187</v>
      </c>
      <c r="D113" s="111" t="s">
        <v>40</v>
      </c>
      <c r="E113" s="113" t="s">
        <v>41</v>
      </c>
      <c r="F113" s="111"/>
      <c r="G113" s="111"/>
      <c r="H113" s="114">
        <v>43586</v>
      </c>
      <c r="I113" s="115">
        <v>1500000</v>
      </c>
      <c r="J113" s="116">
        <v>7.7499999999999999E-2</v>
      </c>
      <c r="K113" s="117">
        <v>0.9</v>
      </c>
      <c r="L113" s="118">
        <v>7</v>
      </c>
      <c r="M113" s="117">
        <v>12</v>
      </c>
      <c r="N113" s="118">
        <f t="shared" si="13"/>
        <v>61031.25</v>
      </c>
      <c r="O113" s="118">
        <f t="shared" si="14"/>
        <v>909984.09884747851</v>
      </c>
      <c r="P113" s="118">
        <f t="shared" si="15"/>
        <v>37024.978021856783</v>
      </c>
      <c r="Q113" s="118">
        <f t="shared" si="16"/>
        <v>24006.271978143217</v>
      </c>
      <c r="R113" s="119">
        <v>0.606656065898319</v>
      </c>
      <c r="S113" s="118"/>
      <c r="T113" s="117"/>
      <c r="U113" s="120"/>
      <c r="V113" s="118">
        <f t="shared" si="10"/>
        <v>909984.09884747851</v>
      </c>
      <c r="W113" s="118">
        <f t="shared" si="10"/>
        <v>37024.978021856783</v>
      </c>
      <c r="X113" s="121">
        <f t="shared" si="11"/>
        <v>909984.09884747851</v>
      </c>
      <c r="Y113" s="121">
        <f t="shared" si="11"/>
        <v>37024.978021856783</v>
      </c>
      <c r="Z113" s="121">
        <f>58125-Z114-Z115</f>
        <v>37024.980000000003</v>
      </c>
      <c r="AA113" s="121"/>
      <c r="AB113" s="121">
        <f>Y113-Z113-AA113</f>
        <v>-1.9781432201853022E-3</v>
      </c>
      <c r="AC113" s="122">
        <v>304310.54168138606</v>
      </c>
      <c r="AD113" s="122">
        <f>AB113/J113/K113/9*M113</f>
        <v>-3.7813968366744131E-2</v>
      </c>
      <c r="AE113" s="122"/>
      <c r="AF113" s="123"/>
      <c r="AG113" s="124">
        <f t="shared" si="12"/>
        <v>-1.9781432201853022E-3</v>
      </c>
      <c r="AH113" s="125">
        <f>AB113/J113/K113/8*M113</f>
        <v>-4.2540714412587145E-2</v>
      </c>
      <c r="AI113" s="126"/>
    </row>
    <row r="114" spans="1:35" s="75" customFormat="1" ht="25.5">
      <c r="A114" s="62">
        <f t="shared" si="17"/>
        <v>103</v>
      </c>
      <c r="B114" s="63" t="s">
        <v>188</v>
      </c>
      <c r="C114" s="64" t="s">
        <v>187</v>
      </c>
      <c r="D114" s="63" t="s">
        <v>80</v>
      </c>
      <c r="E114" s="63" t="s">
        <v>41</v>
      </c>
      <c r="F114" s="63"/>
      <c r="G114" s="63"/>
      <c r="H114" s="65">
        <v>43617</v>
      </c>
      <c r="I114" s="66">
        <v>1500000</v>
      </c>
      <c r="J114" s="67">
        <v>7.7499999999999999E-2</v>
      </c>
      <c r="K114" s="68">
        <v>0.9</v>
      </c>
      <c r="L114" s="69">
        <v>6</v>
      </c>
      <c r="M114" s="68">
        <v>12</v>
      </c>
      <c r="N114" s="69">
        <f t="shared" si="13"/>
        <v>52312.5</v>
      </c>
      <c r="O114" s="69">
        <f t="shared" si="14"/>
        <v>909984.09884747851</v>
      </c>
      <c r="P114" s="69">
        <f t="shared" si="15"/>
        <v>31735.695447305814</v>
      </c>
      <c r="Q114" s="69">
        <f t="shared" si="16"/>
        <v>20576.804552694186</v>
      </c>
      <c r="R114" s="70">
        <v>0.606656065898319</v>
      </c>
      <c r="S114" s="69"/>
      <c r="T114" s="68"/>
      <c r="U114" s="69"/>
      <c r="V114" s="69">
        <f t="shared" si="10"/>
        <v>909984.09884747851</v>
      </c>
      <c r="W114" s="69">
        <f t="shared" si="10"/>
        <v>31735.695447305814</v>
      </c>
      <c r="X114" s="71">
        <f t="shared" si="11"/>
        <v>909984.09884747851</v>
      </c>
      <c r="Y114" s="71">
        <f t="shared" si="11"/>
        <v>31735.695447305814</v>
      </c>
      <c r="Z114" s="90">
        <v>14047.64</v>
      </c>
      <c r="AA114" s="90"/>
      <c r="AB114" s="71">
        <f>Y114-Z114-AA114</f>
        <v>17688.055447305815</v>
      </c>
      <c r="AC114" s="72">
        <v>0</v>
      </c>
      <c r="AD114" s="72">
        <f>AB114/J114/K114/9*M114</f>
        <v>338122.92372388655</v>
      </c>
      <c r="AE114" s="72"/>
      <c r="AF114" s="73"/>
      <c r="AG114" s="73">
        <f t="shared" si="12"/>
        <v>17688.055447305815</v>
      </c>
      <c r="AH114" s="74">
        <f>AB114/J114/K114/8*M114</f>
        <v>380388.28918937233</v>
      </c>
      <c r="AI114" s="74"/>
    </row>
    <row r="115" spans="1:35" s="127" customFormat="1" ht="25.5">
      <c r="A115" s="110">
        <f t="shared" si="17"/>
        <v>104</v>
      </c>
      <c r="B115" s="111" t="s">
        <v>188</v>
      </c>
      <c r="C115" s="112" t="s">
        <v>189</v>
      </c>
      <c r="D115" s="111" t="s">
        <v>40</v>
      </c>
      <c r="E115" s="113" t="s">
        <v>41</v>
      </c>
      <c r="F115" s="111"/>
      <c r="G115" s="111"/>
      <c r="H115" s="114">
        <v>43739</v>
      </c>
      <c r="I115" s="115">
        <v>1000000</v>
      </c>
      <c r="J115" s="116">
        <v>7.7499999999999999E-2</v>
      </c>
      <c r="K115" s="117">
        <v>0.9</v>
      </c>
      <c r="L115" s="118">
        <v>2</v>
      </c>
      <c r="M115" s="117">
        <v>12</v>
      </c>
      <c r="N115" s="118">
        <f t="shared" si="13"/>
        <v>11625</v>
      </c>
      <c r="O115" s="118">
        <f t="shared" si="14"/>
        <v>606656.06589831901</v>
      </c>
      <c r="P115" s="118">
        <f t="shared" si="15"/>
        <v>7052.3767660679587</v>
      </c>
      <c r="Q115" s="118">
        <f t="shared" si="16"/>
        <v>4572.6232339320413</v>
      </c>
      <c r="R115" s="119">
        <v>0.606656065898319</v>
      </c>
      <c r="S115" s="118"/>
      <c r="T115" s="117"/>
      <c r="U115" s="120"/>
      <c r="V115" s="118">
        <f t="shared" ref="V115:W178" si="18">O115-S115</f>
        <v>606656.06589831901</v>
      </c>
      <c r="W115" s="118">
        <f t="shared" si="18"/>
        <v>7052.3767660679587</v>
      </c>
      <c r="X115" s="121">
        <f t="shared" si="11"/>
        <v>606656.06589831901</v>
      </c>
      <c r="Y115" s="121">
        <f t="shared" si="11"/>
        <v>7052.3767660679587</v>
      </c>
      <c r="Z115" s="144">
        <v>7052.38</v>
      </c>
      <c r="AA115" s="144"/>
      <c r="AB115" s="121">
        <f>Y115-Z115-AA115</f>
        <v>-3.2339320414394024E-3</v>
      </c>
      <c r="AC115" s="122">
        <v>0</v>
      </c>
      <c r="AD115" s="122">
        <f>AB115/J115/K115/9*M115</f>
        <v>-6.1819489442091327E-2</v>
      </c>
      <c r="AE115" s="122"/>
      <c r="AF115" s="123"/>
      <c r="AG115" s="124">
        <f t="shared" si="12"/>
        <v>-3.2339320414394024E-3</v>
      </c>
      <c r="AH115" s="125">
        <f>AB115/J115/K115/8*M115</f>
        <v>-6.9546925622352734E-2</v>
      </c>
      <c r="AI115" s="126"/>
    </row>
    <row r="116" spans="1:35" s="127" customFormat="1" ht="25.5">
      <c r="A116" s="110">
        <f t="shared" si="17"/>
        <v>105</v>
      </c>
      <c r="B116" s="111" t="s">
        <v>190</v>
      </c>
      <c r="C116" s="112" t="s">
        <v>191</v>
      </c>
      <c r="D116" s="111" t="s">
        <v>40</v>
      </c>
      <c r="E116" s="113" t="s">
        <v>41</v>
      </c>
      <c r="F116" s="111"/>
      <c r="G116" s="111"/>
      <c r="H116" s="114">
        <v>43525</v>
      </c>
      <c r="I116" s="115">
        <v>1500000</v>
      </c>
      <c r="J116" s="116">
        <v>7.7499999999999999E-2</v>
      </c>
      <c r="K116" s="117">
        <v>0.9</v>
      </c>
      <c r="L116" s="118">
        <v>9</v>
      </c>
      <c r="M116" s="117">
        <v>12</v>
      </c>
      <c r="N116" s="118">
        <f t="shared" si="13"/>
        <v>78468.75</v>
      </c>
      <c r="O116" s="118">
        <f t="shared" si="14"/>
        <v>909984.09884747851</v>
      </c>
      <c r="P116" s="118">
        <f t="shared" si="15"/>
        <v>47603.543170958721</v>
      </c>
      <c r="Q116" s="118">
        <f t="shared" si="16"/>
        <v>30865.206829041279</v>
      </c>
      <c r="R116" s="119">
        <v>0.606656065898319</v>
      </c>
      <c r="S116" s="143">
        <v>1200000</v>
      </c>
      <c r="T116" s="142">
        <f>69750-T117</f>
        <v>47603.54</v>
      </c>
      <c r="U116" s="120">
        <f>P116</f>
        <v>47603.543170958721</v>
      </c>
      <c r="V116" s="118">
        <f t="shared" si="18"/>
        <v>-290015.90115252149</v>
      </c>
      <c r="W116" s="118">
        <f t="shared" si="18"/>
        <v>3.1709587201476097E-3</v>
      </c>
      <c r="X116" s="121">
        <f t="shared" si="11"/>
        <v>-290015.90115252149</v>
      </c>
      <c r="Y116" s="121">
        <f t="shared" si="11"/>
        <v>3.1709587201476097E-3</v>
      </c>
      <c r="Z116" s="121"/>
      <c r="AA116" s="121"/>
      <c r="AB116" s="121">
        <f>Y116-Z116-AA116</f>
        <v>3.1709587201476097E-3</v>
      </c>
      <c r="AC116" s="122">
        <v>73977.738386469893</v>
      </c>
      <c r="AD116" s="122">
        <f>AB116/J116/K116/9*M116</f>
        <v>6.0615698354076167E-2</v>
      </c>
      <c r="AE116" s="122"/>
      <c r="AF116" s="123"/>
      <c r="AG116" s="124">
        <f t="shared" si="12"/>
        <v>3.1709587201476097E-3</v>
      </c>
      <c r="AH116" s="154">
        <f>AB116/J116/K116/8*M116</f>
        <v>6.8192660648335679E-2</v>
      </c>
      <c r="AI116" s="126"/>
    </row>
    <row r="117" spans="1:35" s="75" customFormat="1" ht="25.5">
      <c r="A117" s="62">
        <f t="shared" si="17"/>
        <v>106</v>
      </c>
      <c r="B117" s="63" t="s">
        <v>190</v>
      </c>
      <c r="C117" s="64" t="s">
        <v>191</v>
      </c>
      <c r="D117" s="63" t="s">
        <v>40</v>
      </c>
      <c r="E117" s="63" t="s">
        <v>41</v>
      </c>
      <c r="F117" s="63"/>
      <c r="G117" s="63"/>
      <c r="H117" s="65">
        <v>43647</v>
      </c>
      <c r="I117" s="66">
        <v>1500000</v>
      </c>
      <c r="J117" s="67">
        <v>7.7499999999999999E-2</v>
      </c>
      <c r="K117" s="68">
        <v>0.9</v>
      </c>
      <c r="L117" s="69">
        <v>5</v>
      </c>
      <c r="M117" s="68">
        <v>12</v>
      </c>
      <c r="N117" s="69">
        <f t="shared" si="13"/>
        <v>43593.75</v>
      </c>
      <c r="O117" s="69">
        <f t="shared" si="14"/>
        <v>909984.09884747851</v>
      </c>
      <c r="P117" s="69">
        <f t="shared" si="15"/>
        <v>26446.412872754841</v>
      </c>
      <c r="Q117" s="69">
        <f t="shared" si="16"/>
        <v>17147.337127245159</v>
      </c>
      <c r="R117" s="70">
        <v>0.606656065898319</v>
      </c>
      <c r="S117" s="69"/>
      <c r="T117" s="68">
        <v>22146.46</v>
      </c>
      <c r="U117" s="69">
        <f>P117</f>
        <v>26446.412872754841</v>
      </c>
      <c r="V117" s="69">
        <f t="shared" si="18"/>
        <v>909984.09884747851</v>
      </c>
      <c r="W117" s="69">
        <f t="shared" si="18"/>
        <v>4299.9528727548422</v>
      </c>
      <c r="X117" s="71">
        <f t="shared" si="11"/>
        <v>909984.09884747851</v>
      </c>
      <c r="Y117" s="71">
        <f t="shared" si="11"/>
        <v>4299.9528727548422</v>
      </c>
      <c r="Z117" s="90"/>
      <c r="AA117" s="90"/>
      <c r="AB117" s="71">
        <f>Y117-Z117-AA117</f>
        <v>4299.9528727548422</v>
      </c>
      <c r="AC117" s="72">
        <v>0</v>
      </c>
      <c r="AD117" s="72">
        <f>AB117/J117/K117/9*M117</f>
        <v>82197.42648037929</v>
      </c>
      <c r="AE117" s="72"/>
      <c r="AF117" s="73"/>
      <c r="AG117" s="73">
        <f t="shared" si="12"/>
        <v>4299.9528727548422</v>
      </c>
      <c r="AH117" s="74">
        <f>AB117/J117/K117/8*M117</f>
        <v>92472.104790426703</v>
      </c>
      <c r="AI117" s="74"/>
    </row>
    <row r="118" spans="1:35" s="75" customFormat="1" ht="25.5">
      <c r="A118" s="62">
        <f t="shared" si="17"/>
        <v>107</v>
      </c>
      <c r="B118" s="63" t="s">
        <v>192</v>
      </c>
      <c r="C118" s="64" t="s">
        <v>193</v>
      </c>
      <c r="D118" s="63" t="s">
        <v>73</v>
      </c>
      <c r="E118" s="63" t="s">
        <v>41</v>
      </c>
      <c r="F118" s="63"/>
      <c r="G118" s="63"/>
      <c r="H118" s="65">
        <v>43497</v>
      </c>
      <c r="I118" s="66">
        <v>2000000</v>
      </c>
      <c r="J118" s="67">
        <v>7.7499999999999999E-2</v>
      </c>
      <c r="K118" s="68">
        <v>0.9</v>
      </c>
      <c r="L118" s="69">
        <v>10</v>
      </c>
      <c r="M118" s="68">
        <v>12</v>
      </c>
      <c r="N118" s="69">
        <f t="shared" si="13"/>
        <v>116250</v>
      </c>
      <c r="O118" s="69">
        <f t="shared" si="14"/>
        <v>1213312.131796638</v>
      </c>
      <c r="P118" s="69">
        <f t="shared" si="15"/>
        <v>70523.767660679587</v>
      </c>
      <c r="Q118" s="69">
        <f t="shared" si="16"/>
        <v>45726.232339320413</v>
      </c>
      <c r="R118" s="70">
        <v>0.606656065898319</v>
      </c>
      <c r="S118" s="69"/>
      <c r="T118" s="68"/>
      <c r="U118" s="69"/>
      <c r="V118" s="69">
        <f t="shared" si="18"/>
        <v>1213312.131796638</v>
      </c>
      <c r="W118" s="69">
        <f t="shared" si="18"/>
        <v>70523.767660679587</v>
      </c>
      <c r="X118" s="71">
        <f t="shared" si="11"/>
        <v>1213312.131796638</v>
      </c>
      <c r="Y118" s="71">
        <f t="shared" si="11"/>
        <v>70523.767660679587</v>
      </c>
      <c r="Z118" s="71"/>
      <c r="AA118" s="71"/>
      <c r="AB118" s="71">
        <f>Y118-Z118-AA118</f>
        <v>70523.767660679587</v>
      </c>
      <c r="AC118" s="72">
        <v>1213312.131796638</v>
      </c>
      <c r="AD118" s="72">
        <f>AB118/J118/K118/9*M118</f>
        <v>1348124.5908851533</v>
      </c>
      <c r="AE118" s="72"/>
      <c r="AF118" s="73"/>
      <c r="AG118" s="73">
        <f t="shared" si="12"/>
        <v>70523.767660679587</v>
      </c>
      <c r="AH118" s="74">
        <f>AB118/J118/K118/8*M118</f>
        <v>1516640.1647457974</v>
      </c>
      <c r="AI118" s="74"/>
    </row>
    <row r="119" spans="1:35" s="75" customFormat="1" ht="25.5">
      <c r="A119" s="62">
        <f t="shared" si="17"/>
        <v>108</v>
      </c>
      <c r="B119" s="63" t="s">
        <v>194</v>
      </c>
      <c r="C119" s="64" t="s">
        <v>195</v>
      </c>
      <c r="D119" s="63" t="s">
        <v>73</v>
      </c>
      <c r="E119" s="63" t="s">
        <v>41</v>
      </c>
      <c r="F119" s="63"/>
      <c r="G119" s="63"/>
      <c r="H119" s="65">
        <v>43497</v>
      </c>
      <c r="I119" s="66">
        <v>5000000</v>
      </c>
      <c r="J119" s="67">
        <v>7.7499999999999999E-2</v>
      </c>
      <c r="K119" s="68">
        <v>0.9</v>
      </c>
      <c r="L119" s="69">
        <v>10</v>
      </c>
      <c r="M119" s="68">
        <v>12</v>
      </c>
      <c r="N119" s="69">
        <f t="shared" si="13"/>
        <v>290625</v>
      </c>
      <c r="O119" s="69">
        <f t="shared" si="14"/>
        <v>3033280.3294915948</v>
      </c>
      <c r="P119" s="69">
        <f t="shared" si="15"/>
        <v>176309.41915169894</v>
      </c>
      <c r="Q119" s="69">
        <f t="shared" si="16"/>
        <v>114315.58084830106</v>
      </c>
      <c r="R119" s="70">
        <v>0.606656065898319</v>
      </c>
      <c r="S119" s="69"/>
      <c r="T119" s="68"/>
      <c r="U119" s="69"/>
      <c r="V119" s="69">
        <f t="shared" si="18"/>
        <v>3033280.3294915948</v>
      </c>
      <c r="W119" s="69">
        <f t="shared" si="18"/>
        <v>176309.41915169894</v>
      </c>
      <c r="X119" s="71">
        <f t="shared" si="11"/>
        <v>3033280.3294915948</v>
      </c>
      <c r="Y119" s="71">
        <f t="shared" si="11"/>
        <v>176309.41915169894</v>
      </c>
      <c r="Z119" s="71"/>
      <c r="AA119" s="71"/>
      <c r="AB119" s="71">
        <f>Y119-Z119-AA119</f>
        <v>176309.41915169894</v>
      </c>
      <c r="AC119" s="72">
        <v>3033280.3294915948</v>
      </c>
      <c r="AD119" s="72">
        <f>AB119/J119/K119/9*M119</f>
        <v>3370311.4772128826</v>
      </c>
      <c r="AE119" s="72"/>
      <c r="AF119" s="73"/>
      <c r="AG119" s="73">
        <f t="shared" si="12"/>
        <v>176309.41915169894</v>
      </c>
      <c r="AH119" s="74">
        <f>AB119/J119/K119/8*M119</f>
        <v>3791600.411864493</v>
      </c>
      <c r="AI119" s="74"/>
    </row>
    <row r="120" spans="1:35" s="127" customFormat="1" ht="25.5">
      <c r="A120" s="110">
        <f t="shared" si="17"/>
        <v>109</v>
      </c>
      <c r="B120" s="111" t="s">
        <v>196</v>
      </c>
      <c r="C120" s="112" t="s">
        <v>197</v>
      </c>
      <c r="D120" s="111" t="s">
        <v>40</v>
      </c>
      <c r="E120" s="113" t="s">
        <v>97</v>
      </c>
      <c r="F120" s="111"/>
      <c r="G120" s="111"/>
      <c r="H120" s="114">
        <v>43497</v>
      </c>
      <c r="I120" s="115">
        <v>10000000</v>
      </c>
      <c r="J120" s="116">
        <v>7.7499999999999999E-2</v>
      </c>
      <c r="K120" s="117">
        <v>0.9</v>
      </c>
      <c r="L120" s="118">
        <v>10</v>
      </c>
      <c r="M120" s="117">
        <v>12</v>
      </c>
      <c r="N120" s="118">
        <f t="shared" si="13"/>
        <v>581250</v>
      </c>
      <c r="O120" s="118">
        <f t="shared" si="14"/>
        <v>6066560.6589831896</v>
      </c>
      <c r="P120" s="118">
        <f t="shared" si="15"/>
        <v>352618.83830339788</v>
      </c>
      <c r="Q120" s="118">
        <f t="shared" si="16"/>
        <v>228631.16169660212</v>
      </c>
      <c r="R120" s="119">
        <v>0.606656065898319</v>
      </c>
      <c r="S120" s="118"/>
      <c r="T120" s="117"/>
      <c r="U120" s="120"/>
      <c r="V120" s="118">
        <f t="shared" si="18"/>
        <v>6066560.6589831896</v>
      </c>
      <c r="W120" s="118">
        <f t="shared" si="18"/>
        <v>352618.83830339788</v>
      </c>
      <c r="X120" s="121">
        <f t="shared" si="11"/>
        <v>6066560.6589831896</v>
      </c>
      <c r="Y120" s="121">
        <f t="shared" si="11"/>
        <v>352618.83830339788</v>
      </c>
      <c r="Z120" s="121">
        <f>493655.63-Z121-Z122</f>
        <v>352608.08999999997</v>
      </c>
      <c r="AA120" s="121"/>
      <c r="AB120" s="121">
        <f>Y120-Z120-AA120</f>
        <v>10.748303397907875</v>
      </c>
      <c r="AC120" s="122">
        <v>184.92257646657526</v>
      </c>
      <c r="AD120" s="122">
        <f>AB120/J120/K120/9*M120</f>
        <v>205.46338633993548</v>
      </c>
      <c r="AE120" s="122"/>
      <c r="AF120" s="123"/>
      <c r="AG120" s="124">
        <f t="shared" si="12"/>
        <v>10.748303397907875</v>
      </c>
      <c r="AH120" s="154">
        <f>AB120/J120/K120/8*M120</f>
        <v>231.1463096324274</v>
      </c>
      <c r="AI120" s="126"/>
    </row>
    <row r="121" spans="1:35" s="127" customFormat="1" ht="25.5">
      <c r="A121" s="110">
        <f t="shared" si="17"/>
        <v>110</v>
      </c>
      <c r="B121" s="111" t="s">
        <v>196</v>
      </c>
      <c r="C121" s="112" t="s">
        <v>197</v>
      </c>
      <c r="D121" s="111" t="s">
        <v>40</v>
      </c>
      <c r="E121" s="113" t="s">
        <v>97</v>
      </c>
      <c r="F121" s="111"/>
      <c r="G121" s="111"/>
      <c r="H121" s="114">
        <v>43739</v>
      </c>
      <c r="I121" s="115">
        <v>10000000</v>
      </c>
      <c r="J121" s="116">
        <v>7.7499999999999999E-2</v>
      </c>
      <c r="K121" s="117">
        <v>0.9</v>
      </c>
      <c r="L121" s="118">
        <v>2</v>
      </c>
      <c r="M121" s="117">
        <v>12</v>
      </c>
      <c r="N121" s="118">
        <f t="shared" si="13"/>
        <v>116250</v>
      </c>
      <c r="O121" s="118">
        <f t="shared" si="14"/>
        <v>6066560.6589831896</v>
      </c>
      <c r="P121" s="118">
        <f t="shared" si="15"/>
        <v>70523.767660679572</v>
      </c>
      <c r="Q121" s="118">
        <f t="shared" si="16"/>
        <v>45726.232339320428</v>
      </c>
      <c r="R121" s="119">
        <v>0.606656065898319</v>
      </c>
      <c r="S121" s="118"/>
      <c r="T121" s="117"/>
      <c r="U121" s="120"/>
      <c r="V121" s="118">
        <f t="shared" si="18"/>
        <v>6066560.6589831896</v>
      </c>
      <c r="W121" s="118">
        <f t="shared" si="18"/>
        <v>70523.767660679572</v>
      </c>
      <c r="X121" s="121">
        <f t="shared" si="11"/>
        <v>6066560.6589831896</v>
      </c>
      <c r="Y121" s="121">
        <f t="shared" si="11"/>
        <v>70523.767660679572</v>
      </c>
      <c r="Z121" s="144">
        <v>70523.77</v>
      </c>
      <c r="AA121" s="144"/>
      <c r="AB121" s="121">
        <f>Y121-Z121-AA121</f>
        <v>-2.3393204319290817E-3</v>
      </c>
      <c r="AC121" s="122">
        <v>0</v>
      </c>
      <c r="AD121" s="122">
        <f>AB121/J121/K121/9*M121</f>
        <v>-4.4718192247150901E-2</v>
      </c>
      <c r="AE121" s="122"/>
      <c r="AF121" s="123"/>
      <c r="AG121" s="124">
        <f t="shared" si="12"/>
        <v>-2.3393204319290817E-3</v>
      </c>
      <c r="AH121" s="125">
        <f>AB121/J121/K121/8*M121</f>
        <v>-5.0307966278044763E-2</v>
      </c>
      <c r="AI121" s="126"/>
    </row>
    <row r="122" spans="1:35" s="127" customFormat="1" ht="25.5">
      <c r="A122" s="110">
        <f t="shared" si="17"/>
        <v>111</v>
      </c>
      <c r="B122" s="111" t="s">
        <v>196</v>
      </c>
      <c r="C122" s="112" t="s">
        <v>197</v>
      </c>
      <c r="D122" s="111" t="s">
        <v>80</v>
      </c>
      <c r="E122" s="113" t="s">
        <v>97</v>
      </c>
      <c r="F122" s="111"/>
      <c r="G122" s="111"/>
      <c r="H122" s="114">
        <v>43739</v>
      </c>
      <c r="I122" s="115">
        <v>10000000</v>
      </c>
      <c r="J122" s="116">
        <v>7.7499999999999999E-2</v>
      </c>
      <c r="K122" s="117">
        <v>0.9</v>
      </c>
      <c r="L122" s="118">
        <v>2</v>
      </c>
      <c r="M122" s="117">
        <v>12</v>
      </c>
      <c r="N122" s="118">
        <f t="shared" si="13"/>
        <v>116250</v>
      </c>
      <c r="O122" s="118">
        <f t="shared" si="14"/>
        <v>6066560.6589831896</v>
      </c>
      <c r="P122" s="118">
        <f t="shared" si="15"/>
        <v>70523.767660679572</v>
      </c>
      <c r="Q122" s="118">
        <f t="shared" si="16"/>
        <v>45726.232339320428</v>
      </c>
      <c r="R122" s="119">
        <v>0.606656065898319</v>
      </c>
      <c r="S122" s="118"/>
      <c r="T122" s="117"/>
      <c r="U122" s="120"/>
      <c r="V122" s="118">
        <f t="shared" si="18"/>
        <v>6066560.6589831896</v>
      </c>
      <c r="W122" s="118">
        <f t="shared" si="18"/>
        <v>70523.767660679572</v>
      </c>
      <c r="X122" s="121">
        <f t="shared" si="11"/>
        <v>6066560.6589831896</v>
      </c>
      <c r="Y122" s="121">
        <f t="shared" si="11"/>
        <v>70523.767660679572</v>
      </c>
      <c r="Z122" s="157">
        <v>70523.77</v>
      </c>
      <c r="AA122" s="157"/>
      <c r="AB122" s="121">
        <f>Y122-Z122-AA122</f>
        <v>-2.3393204319290817E-3</v>
      </c>
      <c r="AC122" s="122">
        <v>0</v>
      </c>
      <c r="AD122" s="122">
        <f>AB122/J122/K122/9*M122</f>
        <v>-4.4718192247150901E-2</v>
      </c>
      <c r="AE122" s="122"/>
      <c r="AF122" s="123"/>
      <c r="AG122" s="124">
        <f t="shared" si="12"/>
        <v>-2.3393204319290817E-3</v>
      </c>
      <c r="AH122" s="125">
        <f>AB122/J122/K122/8*M122</f>
        <v>-5.0307966278044763E-2</v>
      </c>
      <c r="AI122" s="126"/>
    </row>
    <row r="123" spans="1:35" s="127" customFormat="1" ht="25.5">
      <c r="A123" s="110">
        <f t="shared" si="17"/>
        <v>112</v>
      </c>
      <c r="B123" s="111" t="s">
        <v>198</v>
      </c>
      <c r="C123" s="112" t="s">
        <v>199</v>
      </c>
      <c r="D123" s="111" t="s">
        <v>73</v>
      </c>
      <c r="E123" s="113" t="s">
        <v>41</v>
      </c>
      <c r="F123" s="111"/>
      <c r="G123" s="111"/>
      <c r="H123" s="114">
        <v>43525</v>
      </c>
      <c r="I123" s="115">
        <v>2000000</v>
      </c>
      <c r="J123" s="116">
        <v>7.7499999999999999E-2</v>
      </c>
      <c r="K123" s="117">
        <v>0.9</v>
      </c>
      <c r="L123" s="118">
        <v>9</v>
      </c>
      <c r="M123" s="117">
        <v>12</v>
      </c>
      <c r="N123" s="118">
        <f t="shared" si="13"/>
        <v>104625</v>
      </c>
      <c r="O123" s="118">
        <f t="shared" si="14"/>
        <v>1213312.131796638</v>
      </c>
      <c r="P123" s="118">
        <f t="shared" si="15"/>
        <v>63471.390894611628</v>
      </c>
      <c r="Q123" s="118">
        <f t="shared" si="16"/>
        <v>41153.609105388372</v>
      </c>
      <c r="R123" s="119">
        <v>0.606656065898319</v>
      </c>
      <c r="S123" s="118"/>
      <c r="T123" s="117"/>
      <c r="U123" s="120"/>
      <c r="V123" s="118">
        <f t="shared" si="18"/>
        <v>1213312.131796638</v>
      </c>
      <c r="W123" s="118">
        <f t="shared" si="18"/>
        <v>63471.390894611628</v>
      </c>
      <c r="X123" s="121">
        <f t="shared" si="11"/>
        <v>1213312.131796638</v>
      </c>
      <c r="Y123" s="121">
        <f t="shared" si="11"/>
        <v>63471.390894611628</v>
      </c>
      <c r="Z123" s="157"/>
      <c r="AA123" s="157">
        <f>158227.4-AA124</f>
        <v>63471.39</v>
      </c>
      <c r="AB123" s="121">
        <f>Y123-Z123-AA123</f>
        <v>8.9461162860970944E-4</v>
      </c>
      <c r="AC123" s="122">
        <v>-1270047.703457565</v>
      </c>
      <c r="AD123" s="122">
        <f>AB123/J123/K123/9*M123</f>
        <v>1.7101297560042233E-2</v>
      </c>
      <c r="AE123" s="122"/>
      <c r="AF123" s="123"/>
      <c r="AG123" s="124">
        <f t="shared" si="12"/>
        <v>8.9461162860970944E-4</v>
      </c>
      <c r="AH123" s="154">
        <f>AB123/J123/K123/8*M123</f>
        <v>1.9238959755047514E-2</v>
      </c>
      <c r="AI123" s="126"/>
    </row>
    <row r="124" spans="1:35" s="127" customFormat="1" ht="25.5">
      <c r="A124" s="110">
        <f t="shared" si="17"/>
        <v>113</v>
      </c>
      <c r="B124" s="111" t="s">
        <v>198</v>
      </c>
      <c r="C124" s="112" t="s">
        <v>199</v>
      </c>
      <c r="D124" s="111" t="s">
        <v>40</v>
      </c>
      <c r="E124" s="113" t="s">
        <v>41</v>
      </c>
      <c r="F124" s="111"/>
      <c r="G124" s="111"/>
      <c r="H124" s="114">
        <v>43525</v>
      </c>
      <c r="I124" s="115">
        <v>3000000</v>
      </c>
      <c r="J124" s="116">
        <v>7.7499999999999999E-2</v>
      </c>
      <c r="K124" s="117">
        <v>0.9</v>
      </c>
      <c r="L124" s="118">
        <v>9</v>
      </c>
      <c r="M124" s="117">
        <v>12</v>
      </c>
      <c r="N124" s="118">
        <f t="shared" si="13"/>
        <v>156937.5</v>
      </c>
      <c r="O124" s="118">
        <f t="shared" si="14"/>
        <v>1819968.197694957</v>
      </c>
      <c r="P124" s="118">
        <f t="shared" si="15"/>
        <v>95207.086341917442</v>
      </c>
      <c r="Q124" s="118">
        <f t="shared" si="16"/>
        <v>61730.413658082558</v>
      </c>
      <c r="R124" s="119">
        <v>0.606656065898319</v>
      </c>
      <c r="S124" s="118"/>
      <c r="T124" s="117"/>
      <c r="U124" s="120"/>
      <c r="V124" s="118">
        <f t="shared" si="18"/>
        <v>1819968.197694957</v>
      </c>
      <c r="W124" s="118">
        <f t="shared" si="18"/>
        <v>95207.086341917442</v>
      </c>
      <c r="X124" s="121">
        <f t="shared" si="11"/>
        <v>1819968.197694957</v>
      </c>
      <c r="Y124" s="121">
        <f t="shared" si="11"/>
        <v>95207.086341917442</v>
      </c>
      <c r="Z124" s="157"/>
      <c r="AA124" s="157">
        <v>94756.01</v>
      </c>
      <c r="AB124" s="121">
        <f>Y124-Z124-AA124</f>
        <v>451.07634191744728</v>
      </c>
      <c r="AC124" s="122">
        <v>0</v>
      </c>
      <c r="AD124" s="122">
        <f>AB124/J124/K124/9*M124</f>
        <v>8622.7257714207371</v>
      </c>
      <c r="AE124" s="122"/>
      <c r="AF124" s="123"/>
      <c r="AG124" s="124">
        <f t="shared" si="12"/>
        <v>451.07634191744728</v>
      </c>
      <c r="AH124" s="154">
        <f>AB124/J124/K124/8*M124</f>
        <v>9700.5664928483293</v>
      </c>
      <c r="AI124" s="126"/>
    </row>
    <row r="125" spans="1:35" s="75" customFormat="1" ht="25.5">
      <c r="A125" s="62">
        <f t="shared" si="17"/>
        <v>114</v>
      </c>
      <c r="B125" s="63" t="s">
        <v>200</v>
      </c>
      <c r="C125" s="64" t="s">
        <v>201</v>
      </c>
      <c r="D125" s="63" t="s">
        <v>185</v>
      </c>
      <c r="E125" s="63" t="s">
        <v>97</v>
      </c>
      <c r="F125" s="63"/>
      <c r="G125" s="63"/>
      <c r="H125" s="65">
        <v>43497</v>
      </c>
      <c r="I125" s="66">
        <v>40000000</v>
      </c>
      <c r="J125" s="67">
        <v>7.7499999999999999E-2</v>
      </c>
      <c r="K125" s="68">
        <v>0.9</v>
      </c>
      <c r="L125" s="69">
        <v>10</v>
      </c>
      <c r="M125" s="68">
        <v>12</v>
      </c>
      <c r="N125" s="69">
        <f t="shared" si="13"/>
        <v>2325000</v>
      </c>
      <c r="O125" s="69">
        <f t="shared" si="14"/>
        <v>24266242.635932758</v>
      </c>
      <c r="P125" s="69">
        <f t="shared" si="15"/>
        <v>1410475.3532135915</v>
      </c>
      <c r="Q125" s="69">
        <f t="shared" si="16"/>
        <v>914524.6467864085</v>
      </c>
      <c r="R125" s="70">
        <v>0.606656065898319</v>
      </c>
      <c r="S125" s="69"/>
      <c r="T125" s="68"/>
      <c r="U125" s="69"/>
      <c r="V125" s="69">
        <f t="shared" si="18"/>
        <v>24266242.635932758</v>
      </c>
      <c r="W125" s="69">
        <f t="shared" si="18"/>
        <v>1410475.3532135915</v>
      </c>
      <c r="X125" s="71">
        <f t="shared" si="11"/>
        <v>24266242.635932758</v>
      </c>
      <c r="Y125" s="71">
        <f>SUM(W125)+786932.88</f>
        <v>2197408.2332135914</v>
      </c>
      <c r="Z125" s="96">
        <v>1410461.25</v>
      </c>
      <c r="AA125" s="96">
        <v>708206.63</v>
      </c>
      <c r="AB125" s="71">
        <f>Y125-Z125-AA125</f>
        <v>78740.353213591385</v>
      </c>
      <c r="AC125" s="72">
        <v>872.65743812918663</v>
      </c>
      <c r="AD125" s="72">
        <f>AB125/J125/K125/9*M125</f>
        <v>1505191.9371773745</v>
      </c>
      <c r="AE125" s="72"/>
      <c r="AF125" s="73"/>
      <c r="AG125" s="73">
        <f t="shared" si="12"/>
        <v>78740.353213591385</v>
      </c>
      <c r="AH125" s="74">
        <f>AB125/J125/K125/8*M125</f>
        <v>1693340.9293245461</v>
      </c>
      <c r="AI125" s="74"/>
    </row>
    <row r="126" spans="1:35" s="127" customFormat="1" ht="25.5">
      <c r="A126" s="110">
        <f t="shared" si="17"/>
        <v>115</v>
      </c>
      <c r="B126" s="111" t="s">
        <v>202</v>
      </c>
      <c r="C126" s="112" t="s">
        <v>203</v>
      </c>
      <c r="D126" s="111" t="s">
        <v>40</v>
      </c>
      <c r="E126" s="113"/>
      <c r="F126" s="111"/>
      <c r="G126" s="111"/>
      <c r="H126" s="114">
        <v>43525</v>
      </c>
      <c r="I126" s="115">
        <v>3000000</v>
      </c>
      <c r="J126" s="116">
        <v>7.7499999999999999E-2</v>
      </c>
      <c r="K126" s="117">
        <v>0.9</v>
      </c>
      <c r="L126" s="118">
        <v>9</v>
      </c>
      <c r="M126" s="117">
        <v>12</v>
      </c>
      <c r="N126" s="118">
        <f t="shared" si="13"/>
        <v>156937.5</v>
      </c>
      <c r="O126" s="118">
        <f t="shared" si="14"/>
        <v>1819968.197694957</v>
      </c>
      <c r="P126" s="118">
        <f t="shared" si="15"/>
        <v>95207.086341917442</v>
      </c>
      <c r="Q126" s="118">
        <f t="shared" si="16"/>
        <v>61730.413658082558</v>
      </c>
      <c r="R126" s="119">
        <v>0.606656065898319</v>
      </c>
      <c r="S126" s="118"/>
      <c r="T126" s="117"/>
      <c r="U126" s="120"/>
      <c r="V126" s="118">
        <f t="shared" si="18"/>
        <v>1819968.197694957</v>
      </c>
      <c r="W126" s="118">
        <f t="shared" si="18"/>
        <v>95207.086341917442</v>
      </c>
      <c r="X126" s="121">
        <f t="shared" si="11"/>
        <v>1819968.197694957</v>
      </c>
      <c r="Y126" s="121">
        <f>SUM(W126)-35376.1</f>
        <v>59830.986341917443</v>
      </c>
      <c r="Z126" s="157">
        <f>116249.99-Z127</f>
        <v>59830.98</v>
      </c>
      <c r="AA126" s="157"/>
      <c r="AB126" s="121">
        <f>Y126-Z126-AA126</f>
        <v>6.3419174402952194E-3</v>
      </c>
      <c r="AC126" s="122">
        <v>8.0939545296132565E-3</v>
      </c>
      <c r="AD126" s="122">
        <f>AB126/J126/K126/9*M126</f>
        <v>0.12123139670815233</v>
      </c>
      <c r="AE126" s="122"/>
      <c r="AF126" s="123"/>
      <c r="AG126" s="124">
        <f t="shared" si="12"/>
        <v>6.3419174402952194E-3</v>
      </c>
      <c r="AH126" s="154">
        <f>AB126/J126/K126/8*M126</f>
        <v>0.13638532129667136</v>
      </c>
      <c r="AI126" s="126"/>
    </row>
    <row r="127" spans="1:35" s="127" customFormat="1" ht="25.5">
      <c r="A127" s="110">
        <f t="shared" si="17"/>
        <v>116</v>
      </c>
      <c r="B127" s="111" t="s">
        <v>202</v>
      </c>
      <c r="C127" s="112" t="s">
        <v>203</v>
      </c>
      <c r="D127" s="111" t="s">
        <v>80</v>
      </c>
      <c r="E127" s="113" t="s">
        <v>97</v>
      </c>
      <c r="F127" s="111"/>
      <c r="G127" s="111"/>
      <c r="H127" s="114">
        <v>43556</v>
      </c>
      <c r="I127" s="115">
        <v>2000000</v>
      </c>
      <c r="J127" s="116">
        <v>7.7499999999999999E-2</v>
      </c>
      <c r="K127" s="117">
        <v>0.9</v>
      </c>
      <c r="L127" s="118">
        <v>8</v>
      </c>
      <c r="M127" s="117">
        <v>12</v>
      </c>
      <c r="N127" s="118">
        <f t="shared" si="13"/>
        <v>93000</v>
      </c>
      <c r="O127" s="118">
        <f t="shared" si="14"/>
        <v>1213312.131796638</v>
      </c>
      <c r="P127" s="118">
        <f t="shared" si="15"/>
        <v>56419.014128543669</v>
      </c>
      <c r="Q127" s="118">
        <f t="shared" si="16"/>
        <v>36580.985871456331</v>
      </c>
      <c r="R127" s="119">
        <v>0.606656065898319</v>
      </c>
      <c r="S127" s="118"/>
      <c r="T127" s="117"/>
      <c r="U127" s="120"/>
      <c r="V127" s="118">
        <f t="shared" si="18"/>
        <v>1213312.131796638</v>
      </c>
      <c r="W127" s="118">
        <f t="shared" si="18"/>
        <v>56419.014128543669</v>
      </c>
      <c r="X127" s="121">
        <f t="shared" si="11"/>
        <v>1213312.131796638</v>
      </c>
      <c r="Y127" s="121">
        <f t="shared" si="11"/>
        <v>56419.014128543669</v>
      </c>
      <c r="Z127" s="157">
        <v>56419.01</v>
      </c>
      <c r="AA127" s="157"/>
      <c r="AB127" s="121">
        <f>Y127-Z127-AA127</f>
        <v>4.1285436673206277E-3</v>
      </c>
      <c r="AC127" s="122">
        <v>0</v>
      </c>
      <c r="AD127" s="122">
        <f>AB127/J127/K127/9*M127</f>
        <v>7.892078694997616E-2</v>
      </c>
      <c r="AE127" s="122"/>
      <c r="AF127" s="123"/>
      <c r="AG127" s="124">
        <f t="shared" si="12"/>
        <v>4.1285436673206277E-3</v>
      </c>
      <c r="AH127" s="154">
        <f>AB127/J127/K127/8*M127</f>
        <v>8.8785885318723168E-2</v>
      </c>
      <c r="AI127" s="126"/>
    </row>
    <row r="128" spans="1:35" s="75" customFormat="1" ht="25.5">
      <c r="A128" s="62">
        <f t="shared" si="17"/>
        <v>117</v>
      </c>
      <c r="B128" s="63" t="s">
        <v>204</v>
      </c>
      <c r="C128" s="64" t="s">
        <v>205</v>
      </c>
      <c r="D128" s="63" t="s">
        <v>206</v>
      </c>
      <c r="E128" s="63" t="s">
        <v>41</v>
      </c>
      <c r="F128" s="63"/>
      <c r="G128" s="63"/>
      <c r="H128" s="65">
        <v>43586</v>
      </c>
      <c r="I128" s="66">
        <v>4000000</v>
      </c>
      <c r="J128" s="67">
        <v>7.7499999999999999E-2</v>
      </c>
      <c r="K128" s="68">
        <v>0.9</v>
      </c>
      <c r="L128" s="69">
        <v>7</v>
      </c>
      <c r="M128" s="68">
        <v>12</v>
      </c>
      <c r="N128" s="69">
        <f t="shared" si="13"/>
        <v>162750</v>
      </c>
      <c r="O128" s="69">
        <f t="shared" si="14"/>
        <v>2426624.263593276</v>
      </c>
      <c r="P128" s="69">
        <f t="shared" si="15"/>
        <v>98733.274724951421</v>
      </c>
      <c r="Q128" s="69">
        <f t="shared" si="16"/>
        <v>64016.725275048579</v>
      </c>
      <c r="R128" s="70">
        <v>0.606656065898319</v>
      </c>
      <c r="S128" s="69"/>
      <c r="T128" s="68"/>
      <c r="U128" s="69"/>
      <c r="V128" s="69">
        <f t="shared" si="18"/>
        <v>2426624.263593276</v>
      </c>
      <c r="W128" s="69">
        <f t="shared" si="18"/>
        <v>98733.274724951421</v>
      </c>
      <c r="X128" s="71">
        <f t="shared" si="11"/>
        <v>2426624.263593276</v>
      </c>
      <c r="Y128" s="71">
        <f t="shared" si="11"/>
        <v>98733.274724951421</v>
      </c>
      <c r="Z128" s="96"/>
      <c r="AA128" s="96"/>
      <c r="AB128" s="71">
        <f>Y128-Z128-AA128</f>
        <v>98733.274724951421</v>
      </c>
      <c r="AC128" s="72">
        <v>3154611.5426712586</v>
      </c>
      <c r="AD128" s="72">
        <f>AB128/J128/K128/9*M128</f>
        <v>1887374.4272392145</v>
      </c>
      <c r="AE128" s="72"/>
      <c r="AF128" s="73"/>
      <c r="AG128" s="73">
        <f t="shared" si="12"/>
        <v>98733.274724951421</v>
      </c>
      <c r="AH128" s="74">
        <f>AB128/J128/K128/8*M128</f>
        <v>2123296.2306441166</v>
      </c>
      <c r="AI128" s="74"/>
    </row>
    <row r="129" spans="1:35" s="75" customFormat="1" ht="25.5">
      <c r="A129" s="62">
        <f t="shared" si="17"/>
        <v>118</v>
      </c>
      <c r="B129" s="63" t="s">
        <v>204</v>
      </c>
      <c r="C129" s="64" t="s">
        <v>205</v>
      </c>
      <c r="D129" s="63" t="s">
        <v>73</v>
      </c>
      <c r="E129" s="63" t="s">
        <v>41</v>
      </c>
      <c r="F129" s="63"/>
      <c r="G129" s="63"/>
      <c r="H129" s="65">
        <v>43617</v>
      </c>
      <c r="I129" s="66">
        <v>4000000</v>
      </c>
      <c r="J129" s="67">
        <v>7.7499999999999999E-2</v>
      </c>
      <c r="K129" s="68">
        <v>0.9</v>
      </c>
      <c r="L129" s="69">
        <v>6</v>
      </c>
      <c r="M129" s="68">
        <v>12</v>
      </c>
      <c r="N129" s="69">
        <f t="shared" si="13"/>
        <v>139500</v>
      </c>
      <c r="O129" s="69">
        <f t="shared" si="14"/>
        <v>2426624.263593276</v>
      </c>
      <c r="P129" s="69">
        <f t="shared" si="15"/>
        <v>84628.521192815504</v>
      </c>
      <c r="Q129" s="69">
        <f t="shared" si="16"/>
        <v>54871.478807184496</v>
      </c>
      <c r="R129" s="70">
        <v>0.606656065898319</v>
      </c>
      <c r="S129" s="69"/>
      <c r="T129" s="68"/>
      <c r="U129" s="69"/>
      <c r="V129" s="69">
        <f t="shared" si="18"/>
        <v>2426624.263593276</v>
      </c>
      <c r="W129" s="69">
        <f t="shared" si="18"/>
        <v>84628.521192815504</v>
      </c>
      <c r="X129" s="71">
        <f t="shared" si="11"/>
        <v>2426624.263593276</v>
      </c>
      <c r="Y129" s="71">
        <f t="shared" si="11"/>
        <v>84628.521192815504</v>
      </c>
      <c r="Z129" s="96"/>
      <c r="AA129" s="96"/>
      <c r="AB129" s="71">
        <f>Y129-Z129-AA129</f>
        <v>84628.521192815504</v>
      </c>
      <c r="AC129" s="72">
        <v>0</v>
      </c>
      <c r="AD129" s="72">
        <f>AB129/J129/K129/9*M129</f>
        <v>1617749.509062184</v>
      </c>
      <c r="AE129" s="72"/>
      <c r="AF129" s="73"/>
      <c r="AG129" s="73">
        <f t="shared" si="12"/>
        <v>84628.521192815504</v>
      </c>
      <c r="AH129" s="74">
        <f>AB129/J129/K129/8*M129</f>
        <v>1819968.197694957</v>
      </c>
      <c r="AI129" s="74"/>
    </row>
    <row r="130" spans="1:35" s="75" customFormat="1" ht="25.5">
      <c r="A130" s="62">
        <f t="shared" si="17"/>
        <v>119</v>
      </c>
      <c r="B130" s="63" t="s">
        <v>207</v>
      </c>
      <c r="C130" s="64" t="s">
        <v>208</v>
      </c>
      <c r="D130" s="63" t="s">
        <v>80</v>
      </c>
      <c r="E130" s="63" t="s">
        <v>97</v>
      </c>
      <c r="F130" s="63"/>
      <c r="G130" s="63"/>
      <c r="H130" s="65">
        <v>43525</v>
      </c>
      <c r="I130" s="66">
        <v>40000000</v>
      </c>
      <c r="J130" s="67">
        <v>7.7499999999999999E-2</v>
      </c>
      <c r="K130" s="68">
        <v>0.9</v>
      </c>
      <c r="L130" s="69">
        <v>9</v>
      </c>
      <c r="M130" s="68">
        <v>12</v>
      </c>
      <c r="N130" s="69">
        <f t="shared" si="13"/>
        <v>2092500</v>
      </c>
      <c r="O130" s="69">
        <f t="shared" si="14"/>
        <v>24266242.635932758</v>
      </c>
      <c r="P130" s="69">
        <f t="shared" si="15"/>
        <v>1269427.8178922324</v>
      </c>
      <c r="Q130" s="69">
        <f t="shared" si="16"/>
        <v>823072.18210776756</v>
      </c>
      <c r="R130" s="70">
        <v>0.606656065898319</v>
      </c>
      <c r="S130" s="69"/>
      <c r="T130" s="68"/>
      <c r="U130" s="69"/>
      <c r="V130" s="69">
        <f t="shared" si="18"/>
        <v>24266242.635932758</v>
      </c>
      <c r="W130" s="69">
        <f t="shared" si="18"/>
        <v>1269427.8178922324</v>
      </c>
      <c r="X130" s="71">
        <f t="shared" si="11"/>
        <v>24266242.635932758</v>
      </c>
      <c r="Y130" s="71">
        <f t="shared" si="11"/>
        <v>1269427.8178922324</v>
      </c>
      <c r="Z130" s="96">
        <v>1162500</v>
      </c>
      <c r="AA130" s="96"/>
      <c r="AB130" s="71">
        <f>Y130-Z130-AA130</f>
        <v>106927.81789223244</v>
      </c>
      <c r="AC130" s="72">
        <v>1839618.3723394796</v>
      </c>
      <c r="AD130" s="72">
        <f>AB130/J130/K130/9*M130</f>
        <v>2044020.4137105367</v>
      </c>
      <c r="AE130" s="72"/>
      <c r="AF130" s="73"/>
      <c r="AG130" s="73">
        <f t="shared" si="12"/>
        <v>106927.81789223244</v>
      </c>
      <c r="AH130" s="74">
        <f>AB130/J130/K130/8*M130</f>
        <v>2299522.9654243537</v>
      </c>
      <c r="AI130" s="74"/>
    </row>
    <row r="131" spans="1:35" s="127" customFormat="1" ht="25.5">
      <c r="A131" s="110">
        <f t="shared" si="17"/>
        <v>120</v>
      </c>
      <c r="B131" s="111" t="s">
        <v>209</v>
      </c>
      <c r="C131" s="112" t="s">
        <v>210</v>
      </c>
      <c r="D131" s="111" t="s">
        <v>40</v>
      </c>
      <c r="E131" s="113" t="s">
        <v>41</v>
      </c>
      <c r="F131" s="111"/>
      <c r="G131" s="111"/>
      <c r="H131" s="114">
        <v>43556</v>
      </c>
      <c r="I131" s="115">
        <v>10000000</v>
      </c>
      <c r="J131" s="116">
        <v>7.7499999999999999E-2</v>
      </c>
      <c r="K131" s="117">
        <v>0.9</v>
      </c>
      <c r="L131" s="118">
        <v>8</v>
      </c>
      <c r="M131" s="117">
        <v>12</v>
      </c>
      <c r="N131" s="118">
        <f t="shared" si="13"/>
        <v>465000</v>
      </c>
      <c r="O131" s="118">
        <f t="shared" si="14"/>
        <v>6066560.6589831896</v>
      </c>
      <c r="P131" s="118">
        <f t="shared" si="15"/>
        <v>282095.07064271829</v>
      </c>
      <c r="Q131" s="118">
        <f t="shared" si="16"/>
        <v>182904.92935728171</v>
      </c>
      <c r="R131" s="119">
        <v>0.606656065898319</v>
      </c>
      <c r="S131" s="118"/>
      <c r="T131" s="117"/>
      <c r="U131" s="120"/>
      <c r="V131" s="118">
        <f t="shared" si="18"/>
        <v>6066560.6589831896</v>
      </c>
      <c r="W131" s="118">
        <f t="shared" si="18"/>
        <v>282095.07064271829</v>
      </c>
      <c r="X131" s="121">
        <f t="shared" si="11"/>
        <v>6066560.6589831896</v>
      </c>
      <c r="Y131" s="121">
        <f t="shared" si="11"/>
        <v>282095.07064271829</v>
      </c>
      <c r="Z131" s="157">
        <v>282080.63</v>
      </c>
      <c r="AA131" s="157"/>
      <c r="AB131" s="121">
        <f>Y131-Z131-AA131</f>
        <v>14.440642718283925</v>
      </c>
      <c r="AC131" s="122">
        <v>248.52718655113131</v>
      </c>
      <c r="AD131" s="122">
        <f>AB131/J131/K131/9*M131</f>
        <v>276.04573893971661</v>
      </c>
      <c r="AE131" s="122"/>
      <c r="AF131" s="123"/>
      <c r="AG131" s="124">
        <f t="shared" si="12"/>
        <v>14.440642718283925</v>
      </c>
      <c r="AH131" s="154">
        <f>AB131/J131/K131/8*M131</f>
        <v>310.55145630718118</v>
      </c>
      <c r="AI131" s="126"/>
    </row>
    <row r="132" spans="1:35" s="75" customFormat="1" ht="25.5">
      <c r="A132" s="62">
        <f t="shared" si="17"/>
        <v>121</v>
      </c>
      <c r="B132" s="63" t="s">
        <v>211</v>
      </c>
      <c r="C132" s="64" t="s">
        <v>212</v>
      </c>
      <c r="D132" s="63" t="s">
        <v>40</v>
      </c>
      <c r="E132" s="63" t="s">
        <v>41</v>
      </c>
      <c r="F132" s="63"/>
      <c r="G132" s="63"/>
      <c r="H132" s="65">
        <v>43497</v>
      </c>
      <c r="I132" s="66">
        <v>2000000</v>
      </c>
      <c r="J132" s="67">
        <v>7.7499999999999999E-2</v>
      </c>
      <c r="K132" s="68">
        <v>0.9</v>
      </c>
      <c r="L132" s="69">
        <v>10</v>
      </c>
      <c r="M132" s="68">
        <v>12</v>
      </c>
      <c r="N132" s="69">
        <f t="shared" si="13"/>
        <v>116250</v>
      </c>
      <c r="O132" s="69">
        <f t="shared" si="14"/>
        <v>1213312.131796638</v>
      </c>
      <c r="P132" s="69">
        <f t="shared" si="15"/>
        <v>70523.767660679587</v>
      </c>
      <c r="Q132" s="69">
        <f t="shared" si="16"/>
        <v>45726.232339320413</v>
      </c>
      <c r="R132" s="70">
        <v>0.606656065898319</v>
      </c>
      <c r="S132" s="69"/>
      <c r="T132" s="68"/>
      <c r="U132" s="69"/>
      <c r="V132" s="69">
        <f t="shared" si="18"/>
        <v>1213312.131796638</v>
      </c>
      <c r="W132" s="69">
        <f t="shared" si="18"/>
        <v>70523.767660679587</v>
      </c>
      <c r="X132" s="71">
        <f t="shared" si="11"/>
        <v>1213312.131796638</v>
      </c>
      <c r="Y132" s="71">
        <f t="shared" si="11"/>
        <v>70523.767660679587</v>
      </c>
      <c r="Z132" s="96"/>
      <c r="AA132" s="96"/>
      <c r="AB132" s="71">
        <f>Y132-Z132-AA132</f>
        <v>70523.767660679587</v>
      </c>
      <c r="AC132" s="72">
        <v>1213312.131796638</v>
      </c>
      <c r="AD132" s="72">
        <f>AB132/J132/K132/9*M132</f>
        <v>1348124.5908851533</v>
      </c>
      <c r="AE132" s="72"/>
      <c r="AF132" s="73"/>
      <c r="AG132" s="73">
        <f t="shared" si="12"/>
        <v>70523.767660679587</v>
      </c>
      <c r="AH132" s="74">
        <f>AB132/J132/K132/8*M132</f>
        <v>1516640.1647457974</v>
      </c>
      <c r="AI132" s="74"/>
    </row>
    <row r="133" spans="1:35" s="127" customFormat="1" ht="25.5">
      <c r="A133" s="110">
        <f t="shared" si="17"/>
        <v>122</v>
      </c>
      <c r="B133" s="111" t="s">
        <v>213</v>
      </c>
      <c r="C133" s="112" t="s">
        <v>214</v>
      </c>
      <c r="D133" s="111" t="s">
        <v>40</v>
      </c>
      <c r="E133" s="113" t="s">
        <v>97</v>
      </c>
      <c r="F133" s="111"/>
      <c r="G133" s="111"/>
      <c r="H133" s="114">
        <v>43497</v>
      </c>
      <c r="I133" s="115">
        <v>25000000</v>
      </c>
      <c r="J133" s="116">
        <v>7.7499999999999999E-2</v>
      </c>
      <c r="K133" s="117">
        <v>0.9</v>
      </c>
      <c r="L133" s="118">
        <v>10</v>
      </c>
      <c r="M133" s="117">
        <v>12</v>
      </c>
      <c r="N133" s="118">
        <f t="shared" si="13"/>
        <v>1453125</v>
      </c>
      <c r="O133" s="118">
        <f t="shared" si="14"/>
        <v>15166401.647457974</v>
      </c>
      <c r="P133" s="118">
        <f t="shared" si="15"/>
        <v>881547.09575849457</v>
      </c>
      <c r="Q133" s="118">
        <f t="shared" si="16"/>
        <v>571577.90424150543</v>
      </c>
      <c r="R133" s="119">
        <v>0.606656065898319</v>
      </c>
      <c r="S133" s="118"/>
      <c r="T133" s="117"/>
      <c r="U133" s="120"/>
      <c r="V133" s="118">
        <f t="shared" si="18"/>
        <v>15166401.647457974</v>
      </c>
      <c r="W133" s="118">
        <f t="shared" si="18"/>
        <v>881547.09575849457</v>
      </c>
      <c r="X133" s="121">
        <f t="shared" si="11"/>
        <v>15166401.647457974</v>
      </c>
      <c r="Y133" s="121">
        <f t="shared" si="11"/>
        <v>881547.09575849457</v>
      </c>
      <c r="Z133" s="157">
        <f>1092750+99975-Z134</f>
        <v>881547.1</v>
      </c>
      <c r="AA133" s="157"/>
      <c r="AB133" s="121">
        <f>Y133-Z133-AA133</f>
        <v>-4.2415054049342871E-3</v>
      </c>
      <c r="AC133" s="122">
        <v>-2373693.7594571561</v>
      </c>
      <c r="AD133" s="122">
        <f>AB133/J133/K133/9*M133</f>
        <v>-8.1080151109854948E-2</v>
      </c>
      <c r="AE133" s="122"/>
      <c r="AF133" s="123"/>
      <c r="AG133" s="124">
        <f t="shared" si="12"/>
        <v>-4.2415054049342871E-3</v>
      </c>
      <c r="AH133" s="125">
        <f>AB133/J133/K133/8*M133</f>
        <v>-9.1215169998586809E-2</v>
      </c>
      <c r="AI133" s="126"/>
    </row>
    <row r="134" spans="1:35" s="75" customFormat="1" ht="25.5">
      <c r="A134" s="62">
        <f t="shared" si="17"/>
        <v>123</v>
      </c>
      <c r="B134" s="63" t="s">
        <v>213</v>
      </c>
      <c r="C134" s="64" t="s">
        <v>214</v>
      </c>
      <c r="D134" s="63" t="s">
        <v>40</v>
      </c>
      <c r="E134" s="63" t="s">
        <v>97</v>
      </c>
      <c r="F134" s="63"/>
      <c r="G134" s="63"/>
      <c r="H134" s="65">
        <v>43525</v>
      </c>
      <c r="I134" s="66">
        <v>10000000</v>
      </c>
      <c r="J134" s="67">
        <v>7.7499999999999999E-2</v>
      </c>
      <c r="K134" s="68">
        <v>0.9</v>
      </c>
      <c r="L134" s="69">
        <v>9</v>
      </c>
      <c r="M134" s="68">
        <v>12</v>
      </c>
      <c r="N134" s="69">
        <f t="shared" si="13"/>
        <v>523125</v>
      </c>
      <c r="O134" s="69">
        <f t="shared" si="14"/>
        <v>6066560.6589831896</v>
      </c>
      <c r="P134" s="69">
        <f t="shared" si="15"/>
        <v>317356.95447305811</v>
      </c>
      <c r="Q134" s="69">
        <f t="shared" si="16"/>
        <v>205768.04552694189</v>
      </c>
      <c r="R134" s="70">
        <v>0.606656065898319</v>
      </c>
      <c r="S134" s="69"/>
      <c r="T134" s="68"/>
      <c r="U134" s="69"/>
      <c r="V134" s="69">
        <f t="shared" si="18"/>
        <v>6066560.6589831896</v>
      </c>
      <c r="W134" s="69">
        <f t="shared" si="18"/>
        <v>317356.95447305811</v>
      </c>
      <c r="X134" s="71">
        <f t="shared" si="11"/>
        <v>6066560.6589831896</v>
      </c>
      <c r="Y134" s="71">
        <f t="shared" si="11"/>
        <v>317356.95447305811</v>
      </c>
      <c r="Z134" s="96">
        <v>311177.90000000002</v>
      </c>
      <c r="AA134" s="96"/>
      <c r="AB134" s="71">
        <f>Y134-Z134-AA134</f>
        <v>6179.0544730580878</v>
      </c>
      <c r="AC134" s="72">
        <v>0</v>
      </c>
      <c r="AD134" s="72">
        <f>AB134/J134/K134/9*M134</f>
        <v>118118.12612775314</v>
      </c>
      <c r="AE134" s="72"/>
      <c r="AF134" s="73"/>
      <c r="AG134" s="73">
        <f t="shared" si="12"/>
        <v>6179.0544730580878</v>
      </c>
      <c r="AH134" s="74">
        <f>AB134/J134/K134/8*M134</f>
        <v>132882.89189372229</v>
      </c>
      <c r="AI134" s="74"/>
    </row>
    <row r="135" spans="1:35" s="127" customFormat="1" ht="25.5">
      <c r="A135" s="110">
        <f t="shared" si="17"/>
        <v>124</v>
      </c>
      <c r="B135" s="111" t="s">
        <v>215</v>
      </c>
      <c r="C135" s="112" t="s">
        <v>216</v>
      </c>
      <c r="D135" s="111" t="s">
        <v>40</v>
      </c>
      <c r="E135" s="113" t="s">
        <v>97</v>
      </c>
      <c r="F135" s="111"/>
      <c r="G135" s="111"/>
      <c r="H135" s="114">
        <v>43525</v>
      </c>
      <c r="I135" s="115">
        <v>9000000</v>
      </c>
      <c r="J135" s="116">
        <v>7.7499999999999999E-2</v>
      </c>
      <c r="K135" s="117">
        <v>0.9</v>
      </c>
      <c r="L135" s="118">
        <v>9</v>
      </c>
      <c r="M135" s="117">
        <v>12</v>
      </c>
      <c r="N135" s="118">
        <f t="shared" si="13"/>
        <v>470812.5</v>
      </c>
      <c r="O135" s="118">
        <f t="shared" si="14"/>
        <v>5459904.5930848708</v>
      </c>
      <c r="P135" s="118">
        <f t="shared" si="15"/>
        <v>285621.25902575225</v>
      </c>
      <c r="Q135" s="118">
        <f t="shared" si="16"/>
        <v>185191.24097424775</v>
      </c>
      <c r="R135" s="119">
        <v>0.606656065898319</v>
      </c>
      <c r="S135" s="118"/>
      <c r="T135" s="117"/>
      <c r="U135" s="120"/>
      <c r="V135" s="118">
        <f t="shared" si="18"/>
        <v>5459904.5930848708</v>
      </c>
      <c r="W135" s="118">
        <f t="shared" si="18"/>
        <v>285621.25902575225</v>
      </c>
      <c r="X135" s="121">
        <f t="shared" si="11"/>
        <v>5459904.5930848708</v>
      </c>
      <c r="Y135" s="121">
        <f t="shared" si="11"/>
        <v>285621.25902575225</v>
      </c>
      <c r="Z135" s="157">
        <f>380718.75-Z136</f>
        <v>285621.26</v>
      </c>
      <c r="AA135" s="157"/>
      <c r="AB135" s="121">
        <f>Y135-Z135-AA135</f>
        <v>-9.7424775594845414E-4</v>
      </c>
      <c r="AC135" s="122">
        <v>1885.5117018455639</v>
      </c>
      <c r="AD135" s="122">
        <f>AB135/J135/K135/9*M135</f>
        <v>-1.8623613016935804E-2</v>
      </c>
      <c r="AE135" s="122"/>
      <c r="AF135" s="123"/>
      <c r="AG135" s="124">
        <f t="shared" si="12"/>
        <v>-9.7424775594845414E-4</v>
      </c>
      <c r="AH135" s="125">
        <f>AB135/J135/K135/8*M135</f>
        <v>-2.0951564644052775E-2</v>
      </c>
      <c r="AI135" s="126"/>
    </row>
    <row r="136" spans="1:35" s="127" customFormat="1" ht="29.25" customHeight="1">
      <c r="A136" s="110">
        <f t="shared" si="17"/>
        <v>125</v>
      </c>
      <c r="B136" s="111" t="s">
        <v>215</v>
      </c>
      <c r="C136" s="112" t="s">
        <v>216</v>
      </c>
      <c r="D136" s="111" t="s">
        <v>80</v>
      </c>
      <c r="E136" s="113" t="s">
        <v>97</v>
      </c>
      <c r="F136" s="111"/>
      <c r="G136" s="111"/>
      <c r="H136" s="114">
        <v>43525</v>
      </c>
      <c r="I136" s="115">
        <v>3000000</v>
      </c>
      <c r="J136" s="116">
        <v>7.7499999999999999E-2</v>
      </c>
      <c r="K136" s="117">
        <v>0.9</v>
      </c>
      <c r="L136" s="118">
        <v>9</v>
      </c>
      <c r="M136" s="117">
        <v>12</v>
      </c>
      <c r="N136" s="118">
        <f t="shared" si="13"/>
        <v>156937.5</v>
      </c>
      <c r="O136" s="118">
        <f t="shared" si="14"/>
        <v>1819968.197694957</v>
      </c>
      <c r="P136" s="118">
        <f t="shared" si="15"/>
        <v>95207.086341917442</v>
      </c>
      <c r="Q136" s="118">
        <f t="shared" si="16"/>
        <v>61730.413658082558</v>
      </c>
      <c r="R136" s="119">
        <v>0.606656065898319</v>
      </c>
      <c r="S136" s="118"/>
      <c r="T136" s="117"/>
      <c r="U136" s="120"/>
      <c r="V136" s="118">
        <f t="shared" si="18"/>
        <v>1819968.197694957</v>
      </c>
      <c r="W136" s="118">
        <f t="shared" si="18"/>
        <v>95207.086341917442</v>
      </c>
      <c r="X136" s="121">
        <f t="shared" si="11"/>
        <v>1819968.197694957</v>
      </c>
      <c r="Y136" s="121">
        <f t="shared" si="11"/>
        <v>95207.086341917442</v>
      </c>
      <c r="Z136" s="144">
        <v>95097.49</v>
      </c>
      <c r="AA136" s="144"/>
      <c r="AB136" s="121">
        <f>Y136-Z136-AA136</f>
        <v>109.5963419174368</v>
      </c>
      <c r="AC136" s="122">
        <v>0</v>
      </c>
      <c r="AD136" s="122">
        <f>AB136/J136/K136/9*M136</f>
        <v>2095.0316256618744</v>
      </c>
      <c r="AE136" s="122"/>
      <c r="AF136" s="123"/>
      <c r="AG136" s="124">
        <f t="shared" si="12"/>
        <v>109.5963419174368</v>
      </c>
      <c r="AH136" s="154">
        <f>AB136/J136/K136/8*M136</f>
        <v>2356.9105788696088</v>
      </c>
      <c r="AI136" s="126"/>
    </row>
    <row r="137" spans="1:35" s="75" customFormat="1" ht="25.5">
      <c r="A137" s="62">
        <f t="shared" si="17"/>
        <v>126</v>
      </c>
      <c r="B137" s="63" t="s">
        <v>217</v>
      </c>
      <c r="C137" s="64" t="s">
        <v>218</v>
      </c>
      <c r="D137" s="63" t="s">
        <v>40</v>
      </c>
      <c r="E137" s="63" t="s">
        <v>41</v>
      </c>
      <c r="F137" s="63"/>
      <c r="G137" s="63"/>
      <c r="H137" s="65">
        <v>43586</v>
      </c>
      <c r="I137" s="66">
        <v>1000000</v>
      </c>
      <c r="J137" s="67">
        <v>7.7499999999999999E-2</v>
      </c>
      <c r="K137" s="68">
        <v>0.9</v>
      </c>
      <c r="L137" s="69">
        <v>7</v>
      </c>
      <c r="M137" s="68">
        <v>12</v>
      </c>
      <c r="N137" s="69">
        <f t="shared" si="13"/>
        <v>40687.5</v>
      </c>
      <c r="O137" s="69">
        <f t="shared" si="14"/>
        <v>606656.06589831901</v>
      </c>
      <c r="P137" s="69">
        <f t="shared" si="15"/>
        <v>24683.318681237855</v>
      </c>
      <c r="Q137" s="69">
        <f t="shared" si="16"/>
        <v>16004.181318762145</v>
      </c>
      <c r="R137" s="70">
        <v>0.606656065898319</v>
      </c>
      <c r="S137" s="69"/>
      <c r="T137" s="68"/>
      <c r="U137" s="69"/>
      <c r="V137" s="69">
        <f t="shared" si="18"/>
        <v>606656.06589831901</v>
      </c>
      <c r="W137" s="69">
        <f t="shared" si="18"/>
        <v>24683.318681237855</v>
      </c>
      <c r="X137" s="71">
        <f t="shared" si="11"/>
        <v>606656.06589831901</v>
      </c>
      <c r="Y137" s="71">
        <f t="shared" si="11"/>
        <v>24683.318681237855</v>
      </c>
      <c r="Z137" s="71"/>
      <c r="AA137" s="71"/>
      <c r="AB137" s="71">
        <f>Y137-Z137-AA137</f>
        <v>24683.318681237855</v>
      </c>
      <c r="AC137" s="72">
        <v>424659.24612882326</v>
      </c>
      <c r="AD137" s="72">
        <f>AB137/J137/K137/9*M137</f>
        <v>471843.60680980363</v>
      </c>
      <c r="AE137" s="72"/>
      <c r="AF137" s="73"/>
      <c r="AG137" s="73">
        <f t="shared" si="12"/>
        <v>24683.318681237855</v>
      </c>
      <c r="AH137" s="74">
        <f>AB137/J137/K137/8*M137</f>
        <v>530824.05766102916</v>
      </c>
      <c r="AI137" s="74"/>
    </row>
    <row r="138" spans="1:35" s="75" customFormat="1" ht="25.5">
      <c r="A138" s="62">
        <f t="shared" si="17"/>
        <v>127</v>
      </c>
      <c r="B138" s="63" t="s">
        <v>219</v>
      </c>
      <c r="C138" s="64" t="s">
        <v>220</v>
      </c>
      <c r="D138" s="63" t="s">
        <v>40</v>
      </c>
      <c r="E138" s="63" t="s">
        <v>41</v>
      </c>
      <c r="F138" s="63"/>
      <c r="G138" s="63"/>
      <c r="H138" s="65">
        <v>43586</v>
      </c>
      <c r="I138" s="66">
        <v>1000000</v>
      </c>
      <c r="J138" s="67">
        <v>7.7499999999999999E-2</v>
      </c>
      <c r="K138" s="68">
        <v>0.9</v>
      </c>
      <c r="L138" s="69">
        <v>7</v>
      </c>
      <c r="M138" s="68">
        <v>12</v>
      </c>
      <c r="N138" s="69">
        <f t="shared" si="13"/>
        <v>40687.5</v>
      </c>
      <c r="O138" s="69">
        <f t="shared" si="14"/>
        <v>606656.06589831901</v>
      </c>
      <c r="P138" s="69">
        <f t="shared" si="15"/>
        <v>24683.318681237855</v>
      </c>
      <c r="Q138" s="69">
        <f t="shared" si="16"/>
        <v>16004.181318762145</v>
      </c>
      <c r="R138" s="70">
        <v>0.606656065898319</v>
      </c>
      <c r="S138" s="69"/>
      <c r="T138" s="68"/>
      <c r="U138" s="69"/>
      <c r="V138" s="69">
        <f t="shared" si="18"/>
        <v>606656.06589831901</v>
      </c>
      <c r="W138" s="69">
        <f t="shared" si="18"/>
        <v>24683.318681237855</v>
      </c>
      <c r="X138" s="71">
        <f t="shared" si="11"/>
        <v>606656.06589831901</v>
      </c>
      <c r="Y138" s="71">
        <f t="shared" si="11"/>
        <v>24683.318681237855</v>
      </c>
      <c r="Z138" s="71"/>
      <c r="AA138" s="71"/>
      <c r="AB138" s="71">
        <f>Y138-Z138-AA138</f>
        <v>24683.318681237855</v>
      </c>
      <c r="AC138" s="72">
        <v>424659.24612882326</v>
      </c>
      <c r="AD138" s="72">
        <f>AB138/J138/K138/9*M138</f>
        <v>471843.60680980363</v>
      </c>
      <c r="AE138" s="72"/>
      <c r="AF138" s="73"/>
      <c r="AG138" s="73">
        <f t="shared" si="12"/>
        <v>24683.318681237855</v>
      </c>
      <c r="AH138" s="74">
        <f>AB138/J138/K138/8*M138</f>
        <v>530824.05766102916</v>
      </c>
      <c r="AI138" s="74"/>
    </row>
    <row r="139" spans="1:35" s="127" customFormat="1" ht="25.5">
      <c r="A139" s="110">
        <f t="shared" si="17"/>
        <v>128</v>
      </c>
      <c r="B139" s="111" t="s">
        <v>221</v>
      </c>
      <c r="C139" s="112" t="s">
        <v>222</v>
      </c>
      <c r="D139" s="111" t="s">
        <v>62</v>
      </c>
      <c r="E139" s="113"/>
      <c r="F139" s="111"/>
      <c r="G139" s="111"/>
      <c r="H139" s="114">
        <v>43497</v>
      </c>
      <c r="I139" s="115">
        <v>4000000</v>
      </c>
      <c r="J139" s="116">
        <v>7.7499999999999999E-2</v>
      </c>
      <c r="K139" s="117">
        <v>0.9</v>
      </c>
      <c r="L139" s="118">
        <v>10</v>
      </c>
      <c r="M139" s="117">
        <v>12</v>
      </c>
      <c r="N139" s="118">
        <f t="shared" si="13"/>
        <v>232500</v>
      </c>
      <c r="O139" s="118">
        <f t="shared" si="14"/>
        <v>2426624.263593276</v>
      </c>
      <c r="P139" s="118">
        <f t="shared" si="15"/>
        <v>141047.53532135917</v>
      </c>
      <c r="Q139" s="118">
        <f t="shared" si="16"/>
        <v>91452.464678640827</v>
      </c>
      <c r="R139" s="119">
        <v>0.606656065898319</v>
      </c>
      <c r="S139" s="143">
        <v>3000000</v>
      </c>
      <c r="T139" s="142">
        <v>174375</v>
      </c>
      <c r="U139" s="120">
        <f>P139</f>
        <v>141047.53532135917</v>
      </c>
      <c r="V139" s="118">
        <f t="shared" si="18"/>
        <v>-573375.73640672397</v>
      </c>
      <c r="W139" s="118">
        <f t="shared" si="18"/>
        <v>-33327.464678640827</v>
      </c>
      <c r="X139" s="121">
        <f t="shared" si="11"/>
        <v>-573375.73640672397</v>
      </c>
      <c r="Y139" s="121">
        <f t="shared" si="11"/>
        <v>-33327.464678640827</v>
      </c>
      <c r="Z139" s="121"/>
      <c r="AA139" s="121"/>
      <c r="AB139" s="121">
        <f>Y139-Z139-AA139</f>
        <v>-33327.464678640827</v>
      </c>
      <c r="AC139" s="122">
        <v>-573375.73640672385</v>
      </c>
      <c r="AD139" s="122">
        <f>AB139/J139/K139/9*M139</f>
        <v>-637084.15156302659</v>
      </c>
      <c r="AE139" s="122"/>
      <c r="AF139" s="123"/>
      <c r="AG139" s="124">
        <f t="shared" si="12"/>
        <v>-33327.464678640827</v>
      </c>
      <c r="AH139" s="125">
        <f>AB139/J139/K139/8*M139</f>
        <v>-716719.67050840484</v>
      </c>
      <c r="AI139" s="126"/>
    </row>
    <row r="140" spans="1:35" s="75" customFormat="1" ht="38.25">
      <c r="A140" s="62">
        <f t="shared" si="17"/>
        <v>129</v>
      </c>
      <c r="B140" s="63" t="s">
        <v>223</v>
      </c>
      <c r="C140" s="64" t="s">
        <v>224</v>
      </c>
      <c r="D140" s="63" t="s">
        <v>225</v>
      </c>
      <c r="E140" s="63" t="s">
        <v>41</v>
      </c>
      <c r="F140" s="63"/>
      <c r="G140" s="63"/>
      <c r="H140" s="65">
        <v>43647</v>
      </c>
      <c r="I140" s="66">
        <v>5000000</v>
      </c>
      <c r="J140" s="67">
        <v>7.7499999999999999E-2</v>
      </c>
      <c r="K140" s="68">
        <v>0.9</v>
      </c>
      <c r="L140" s="69">
        <v>5</v>
      </c>
      <c r="M140" s="68">
        <v>12</v>
      </c>
      <c r="N140" s="69">
        <f t="shared" si="13"/>
        <v>145312.5</v>
      </c>
      <c r="O140" s="69">
        <f t="shared" si="14"/>
        <v>3033280.3294915948</v>
      </c>
      <c r="P140" s="69">
        <f t="shared" si="15"/>
        <v>88154.709575849469</v>
      </c>
      <c r="Q140" s="69">
        <f t="shared" si="16"/>
        <v>57157.790424150531</v>
      </c>
      <c r="R140" s="70">
        <v>0.606656065898319</v>
      </c>
      <c r="S140" s="69"/>
      <c r="T140" s="68"/>
      <c r="U140" s="69"/>
      <c r="V140" s="69">
        <f t="shared" si="18"/>
        <v>3033280.3294915948</v>
      </c>
      <c r="W140" s="69">
        <f t="shared" si="18"/>
        <v>88154.709575849469</v>
      </c>
      <c r="X140" s="71">
        <f t="shared" si="11"/>
        <v>3033280.3294915948</v>
      </c>
      <c r="Y140" s="71">
        <f t="shared" si="11"/>
        <v>88154.709575849469</v>
      </c>
      <c r="Z140" s="71"/>
      <c r="AA140" s="71"/>
      <c r="AB140" s="71">
        <f>Y140-Z140-AA140</f>
        <v>88154.709575849469</v>
      </c>
      <c r="AC140" s="72">
        <v>1516640.1647457974</v>
      </c>
      <c r="AD140" s="72">
        <f>AB140/J140/K140/9*M140</f>
        <v>1685155.7386064413</v>
      </c>
      <c r="AE140" s="72"/>
      <c r="AF140" s="73"/>
      <c r="AG140" s="73">
        <f t="shared" ref="AG140:AG203" si="19">AB140+AF140</f>
        <v>88154.709575849469</v>
      </c>
      <c r="AH140" s="74">
        <f>AB140/J140/K140/8*M140</f>
        <v>1895800.2059322465</v>
      </c>
      <c r="AI140" s="74"/>
    </row>
    <row r="141" spans="1:35" s="127" customFormat="1" ht="25.5">
      <c r="A141" s="110">
        <f t="shared" si="17"/>
        <v>130</v>
      </c>
      <c r="B141" s="111" t="s">
        <v>226</v>
      </c>
      <c r="C141" s="112" t="s">
        <v>227</v>
      </c>
      <c r="D141" s="111" t="s">
        <v>62</v>
      </c>
      <c r="E141" s="113"/>
      <c r="F141" s="111"/>
      <c r="G141" s="111"/>
      <c r="H141" s="114">
        <v>43497</v>
      </c>
      <c r="I141" s="115">
        <v>12000000</v>
      </c>
      <c r="J141" s="116">
        <v>7.7499999999999999E-2</v>
      </c>
      <c r="K141" s="117">
        <v>0.9</v>
      </c>
      <c r="L141" s="118">
        <v>10</v>
      </c>
      <c r="M141" s="117">
        <v>12</v>
      </c>
      <c r="N141" s="118">
        <f t="shared" si="13"/>
        <v>697500</v>
      </c>
      <c r="O141" s="118">
        <f t="shared" si="14"/>
        <v>7279872.7907798281</v>
      </c>
      <c r="P141" s="118">
        <f t="shared" si="15"/>
        <v>423142.60596407746</v>
      </c>
      <c r="Q141" s="118">
        <f t="shared" si="16"/>
        <v>274357.39403592254</v>
      </c>
      <c r="R141" s="119">
        <v>0.606656065898319</v>
      </c>
      <c r="S141" s="158">
        <v>18000000</v>
      </c>
      <c r="T141" s="159">
        <v>1046250</v>
      </c>
      <c r="U141" s="120">
        <f t="shared" ref="U141:U192" si="20">P141</f>
        <v>423142.60596407746</v>
      </c>
      <c r="V141" s="118">
        <f t="shared" si="18"/>
        <v>-10720127.209220171</v>
      </c>
      <c r="W141" s="118">
        <f t="shared" si="18"/>
        <v>-623107.3940359226</v>
      </c>
      <c r="X141" s="121">
        <f t="shared" ref="X141:Y204" si="21">SUM(V141)</f>
        <v>-10720127.209220171</v>
      </c>
      <c r="Y141" s="121">
        <f t="shared" si="21"/>
        <v>-623107.3940359226</v>
      </c>
      <c r="Z141" s="121"/>
      <c r="AA141" s="121"/>
      <c r="AB141" s="121">
        <f>Y141-Z141-AA141</f>
        <v>-623107.3940359226</v>
      </c>
      <c r="AC141" s="122">
        <v>-13866878.682033621</v>
      </c>
      <c r="AD141" s="122">
        <f>AB141/J141/K141/9*M141</f>
        <v>-11911252.45468908</v>
      </c>
      <c r="AE141" s="122"/>
      <c r="AF141" s="123"/>
      <c r="AG141" s="124">
        <f t="shared" si="19"/>
        <v>-623107.3940359226</v>
      </c>
      <c r="AH141" s="125">
        <f>AB141/J141/K141/8*M141</f>
        <v>-13400159.011525216</v>
      </c>
      <c r="AI141" s="126"/>
    </row>
    <row r="142" spans="1:35" s="127" customFormat="1" ht="25.5">
      <c r="A142" s="110">
        <f t="shared" ref="A142:A205" si="22">A141+1</f>
        <v>131</v>
      </c>
      <c r="B142" s="111" t="s">
        <v>226</v>
      </c>
      <c r="C142" s="112" t="s">
        <v>227</v>
      </c>
      <c r="D142" s="111" t="s">
        <v>228</v>
      </c>
      <c r="E142" s="113"/>
      <c r="F142" s="111"/>
      <c r="G142" s="111"/>
      <c r="H142" s="114">
        <v>43497</v>
      </c>
      <c r="I142" s="115">
        <v>8000000</v>
      </c>
      <c r="J142" s="116">
        <v>7.7499999999999999E-2</v>
      </c>
      <c r="K142" s="117">
        <v>0.9</v>
      </c>
      <c r="L142" s="118">
        <v>10</v>
      </c>
      <c r="M142" s="117">
        <v>12</v>
      </c>
      <c r="N142" s="118">
        <f t="shared" ref="N142:N205" si="23">I142*J142*K142*L142/M142</f>
        <v>465000</v>
      </c>
      <c r="O142" s="118">
        <f t="shared" ref="O142:O205" si="24">I142*0.606656065898319</f>
        <v>4853248.5271865521</v>
      </c>
      <c r="P142" s="118">
        <f t="shared" ref="P142:P205" si="25">O142*J142*K142*L142/M142</f>
        <v>282095.07064271835</v>
      </c>
      <c r="Q142" s="118">
        <f t="shared" ref="Q142:Q205" si="26">N142-P142</f>
        <v>182904.92935728165</v>
      </c>
      <c r="R142" s="119">
        <v>0.606656065898319</v>
      </c>
      <c r="S142" s="158">
        <v>8000000</v>
      </c>
      <c r="T142" s="159">
        <v>465000</v>
      </c>
      <c r="U142" s="120">
        <f t="shared" si="20"/>
        <v>282095.07064271835</v>
      </c>
      <c r="V142" s="118">
        <f t="shared" si="18"/>
        <v>-3146751.4728134479</v>
      </c>
      <c r="W142" s="118">
        <f t="shared" si="18"/>
        <v>-182904.92935728165</v>
      </c>
      <c r="X142" s="121">
        <f t="shared" si="21"/>
        <v>-3146751.4728134479</v>
      </c>
      <c r="Y142" s="121">
        <f t="shared" si="21"/>
        <v>-182904.92935728165</v>
      </c>
      <c r="Z142" s="144"/>
      <c r="AA142" s="144"/>
      <c r="AB142" s="121">
        <f>Y142-Z142-AA142</f>
        <v>-182904.92935728165</v>
      </c>
      <c r="AC142" s="122">
        <v>0</v>
      </c>
      <c r="AD142" s="122">
        <f>AB142/J142/K142/9*M142</f>
        <v>-3496390.525348275</v>
      </c>
      <c r="AE142" s="122"/>
      <c r="AF142" s="123"/>
      <c r="AG142" s="124">
        <f t="shared" si="19"/>
        <v>-182904.92935728165</v>
      </c>
      <c r="AH142" s="125">
        <f>AB142/J142/K142/8*M142</f>
        <v>-3933439.3410168095</v>
      </c>
      <c r="AI142" s="126"/>
    </row>
    <row r="143" spans="1:35" s="155" customFormat="1" ht="25.5">
      <c r="A143" s="145">
        <f t="shared" si="22"/>
        <v>132</v>
      </c>
      <c r="B143" s="113" t="s">
        <v>229</v>
      </c>
      <c r="C143" s="146" t="s">
        <v>230</v>
      </c>
      <c r="D143" s="113" t="s">
        <v>62</v>
      </c>
      <c r="E143" s="113" t="s">
        <v>41</v>
      </c>
      <c r="F143" s="113"/>
      <c r="G143" s="113"/>
      <c r="H143" s="147">
        <v>43497</v>
      </c>
      <c r="I143" s="148">
        <f>82000000</f>
        <v>82000000</v>
      </c>
      <c r="J143" s="149">
        <v>7.7499999999999999E-2</v>
      </c>
      <c r="K143" s="150">
        <v>0.9</v>
      </c>
      <c r="L143" s="120">
        <v>10</v>
      </c>
      <c r="M143" s="150">
        <v>12</v>
      </c>
      <c r="N143" s="120">
        <f t="shared" si="23"/>
        <v>4766250</v>
      </c>
      <c r="O143" s="120">
        <f t="shared" si="24"/>
        <v>49745797.40366216</v>
      </c>
      <c r="P143" s="120">
        <f t="shared" si="25"/>
        <v>2891474.4740878628</v>
      </c>
      <c r="Q143" s="120">
        <f t="shared" si="26"/>
        <v>1874775.5259121372</v>
      </c>
      <c r="R143" s="151">
        <v>0.606656065898319</v>
      </c>
      <c r="S143" s="120"/>
      <c r="T143" s="150"/>
      <c r="U143" s="120"/>
      <c r="V143" s="120">
        <f t="shared" si="18"/>
        <v>49745797.40366216</v>
      </c>
      <c r="W143" s="120">
        <f t="shared" si="18"/>
        <v>2891474.4740878628</v>
      </c>
      <c r="X143" s="152">
        <f t="shared" si="21"/>
        <v>49745797.40366216</v>
      </c>
      <c r="Y143" s="152">
        <f t="shared" si="21"/>
        <v>2891474.4740878628</v>
      </c>
      <c r="Z143" s="152"/>
      <c r="AA143" s="152"/>
      <c r="AB143" s="152">
        <f>Y143-Z143-AA143-2891474.47</f>
        <v>4.0878625586628914E-3</v>
      </c>
      <c r="AC143" s="153">
        <v>49745797.403662145</v>
      </c>
      <c r="AD143" s="153">
        <f>AB143/J143/K143/9*M143</f>
        <v>7.8143131348394582E-2</v>
      </c>
      <c r="AE143" s="153"/>
      <c r="AF143" s="124">
        <v>-2891474.47</v>
      </c>
      <c r="AG143" s="124">
        <f t="shared" si="19"/>
        <v>-2891474.4659121376</v>
      </c>
      <c r="AH143" s="154">
        <f>AB143/J143/K143/8*M143</f>
        <v>8.7911022766943903E-2</v>
      </c>
      <c r="AI143" s="154"/>
    </row>
    <row r="144" spans="1:35" s="50" customFormat="1" ht="38.25">
      <c r="A144" s="36">
        <f t="shared" si="22"/>
        <v>133</v>
      </c>
      <c r="B144" s="37" t="s">
        <v>231</v>
      </c>
      <c r="C144" s="38" t="s">
        <v>232</v>
      </c>
      <c r="D144" s="39" t="s">
        <v>62</v>
      </c>
      <c r="E144" s="39"/>
      <c r="F144" s="39"/>
      <c r="G144" s="39"/>
      <c r="H144" s="40">
        <v>43497</v>
      </c>
      <c r="I144" s="41">
        <v>6000000</v>
      </c>
      <c r="J144" s="42">
        <v>7.7499999999999999E-2</v>
      </c>
      <c r="K144" s="43">
        <v>0.9</v>
      </c>
      <c r="L144" s="44">
        <v>10</v>
      </c>
      <c r="M144" s="43">
        <v>12</v>
      </c>
      <c r="N144" s="44">
        <f t="shared" si="23"/>
        <v>348750</v>
      </c>
      <c r="O144" s="44">
        <f t="shared" si="24"/>
        <v>3639936.395389914</v>
      </c>
      <c r="P144" s="44">
        <f t="shared" si="25"/>
        <v>211571.30298203873</v>
      </c>
      <c r="Q144" s="44">
        <f t="shared" si="26"/>
        <v>137178.69701796127</v>
      </c>
      <c r="R144" s="45">
        <v>0.606656065898319</v>
      </c>
      <c r="S144" s="44"/>
      <c r="T144" s="43"/>
      <c r="U144" s="33"/>
      <c r="V144" s="44">
        <f t="shared" si="18"/>
        <v>3639936.395389914</v>
      </c>
      <c r="W144" s="44">
        <f t="shared" si="18"/>
        <v>211571.30298203873</v>
      </c>
      <c r="X144" s="46">
        <f t="shared" si="21"/>
        <v>3639936.395389914</v>
      </c>
      <c r="Y144" s="46">
        <f t="shared" si="21"/>
        <v>211571.30298203873</v>
      </c>
      <c r="Z144" s="46"/>
      <c r="AA144" s="46"/>
      <c r="AB144" s="46">
        <f>Y144-Z144-AA144</f>
        <v>211571.30298203873</v>
      </c>
      <c r="AC144" s="47">
        <v>3639936.395389914</v>
      </c>
      <c r="AD144" s="47">
        <f>AB144/J144/K144/9*M144</f>
        <v>4044373.7726554601</v>
      </c>
      <c r="AE144" s="47"/>
      <c r="AF144" s="48"/>
      <c r="AG144" s="34">
        <f t="shared" si="19"/>
        <v>211571.30298203873</v>
      </c>
      <c r="AH144" s="49">
        <f>AB144/J144/K144/8*M144</f>
        <v>4549920.4942373922</v>
      </c>
      <c r="AI144" s="49"/>
    </row>
    <row r="145" spans="1:35" s="75" customFormat="1" ht="38.25">
      <c r="A145" s="62">
        <f t="shared" si="22"/>
        <v>134</v>
      </c>
      <c r="B145" s="63" t="s">
        <v>233</v>
      </c>
      <c r="C145" s="64" t="s">
        <v>234</v>
      </c>
      <c r="D145" s="63" t="s">
        <v>235</v>
      </c>
      <c r="E145" s="63" t="s">
        <v>41</v>
      </c>
      <c r="F145" s="63"/>
      <c r="G145" s="63"/>
      <c r="H145" s="65">
        <v>43525</v>
      </c>
      <c r="I145" s="66">
        <v>5000000</v>
      </c>
      <c r="J145" s="67">
        <v>7.7499999999999999E-2</v>
      </c>
      <c r="K145" s="68">
        <v>0.9</v>
      </c>
      <c r="L145" s="69">
        <v>9</v>
      </c>
      <c r="M145" s="68">
        <v>12</v>
      </c>
      <c r="N145" s="69">
        <f t="shared" si="23"/>
        <v>261562.5</v>
      </c>
      <c r="O145" s="69">
        <f t="shared" si="24"/>
        <v>3033280.3294915948</v>
      </c>
      <c r="P145" s="69">
        <f t="shared" si="25"/>
        <v>158678.47723652906</v>
      </c>
      <c r="Q145" s="69">
        <f t="shared" si="26"/>
        <v>102884.02276347094</v>
      </c>
      <c r="R145" s="70">
        <v>0.606656065898319</v>
      </c>
      <c r="S145" s="69"/>
      <c r="T145" s="68"/>
      <c r="U145" s="69"/>
      <c r="V145" s="69">
        <f t="shared" si="18"/>
        <v>3033280.3294915948</v>
      </c>
      <c r="W145" s="69">
        <f t="shared" si="18"/>
        <v>158678.47723652906</v>
      </c>
      <c r="X145" s="71">
        <f t="shared" si="21"/>
        <v>3033280.3294915948</v>
      </c>
      <c r="Y145" s="71">
        <f t="shared" si="21"/>
        <v>158678.47723652906</v>
      </c>
      <c r="Z145" s="71">
        <v>157568.12</v>
      </c>
      <c r="AA145" s="71"/>
      <c r="AB145" s="71">
        <f>Y145-Z145-AA145</f>
        <v>1110.3572365290602</v>
      </c>
      <c r="AC145" s="72">
        <v>-1670047.703457565</v>
      </c>
      <c r="AD145" s="72">
        <f>AB145/J145/K145/9*M145</f>
        <v>21225.466887054914</v>
      </c>
      <c r="AE145" s="72"/>
      <c r="AF145" s="73"/>
      <c r="AG145" s="73">
        <f t="shared" si="19"/>
        <v>1110.3572365290602</v>
      </c>
      <c r="AH145" s="74">
        <f>AB145/J145/K145/8*M145</f>
        <v>23878.650247936777</v>
      </c>
      <c r="AI145" s="74"/>
    </row>
    <row r="146" spans="1:35" s="75" customFormat="1" ht="38.25">
      <c r="A146" s="62">
        <f t="shared" si="22"/>
        <v>135</v>
      </c>
      <c r="B146" s="63" t="s">
        <v>236</v>
      </c>
      <c r="C146" s="64" t="s">
        <v>237</v>
      </c>
      <c r="D146" s="63" t="s">
        <v>235</v>
      </c>
      <c r="E146" s="63" t="s">
        <v>41</v>
      </c>
      <c r="F146" s="63"/>
      <c r="G146" s="63"/>
      <c r="H146" s="65">
        <v>43497</v>
      </c>
      <c r="I146" s="66">
        <v>20000000</v>
      </c>
      <c r="J146" s="67">
        <v>7.7499999999999999E-2</v>
      </c>
      <c r="K146" s="68">
        <v>0.9</v>
      </c>
      <c r="L146" s="69">
        <v>10</v>
      </c>
      <c r="M146" s="68">
        <v>12</v>
      </c>
      <c r="N146" s="69">
        <f t="shared" si="23"/>
        <v>1162500</v>
      </c>
      <c r="O146" s="69">
        <f t="shared" si="24"/>
        <v>12133121.317966379</v>
      </c>
      <c r="P146" s="69">
        <f t="shared" si="25"/>
        <v>705237.67660679575</v>
      </c>
      <c r="Q146" s="69">
        <f t="shared" si="26"/>
        <v>457262.32339320425</v>
      </c>
      <c r="R146" s="70">
        <v>0.606656065898319</v>
      </c>
      <c r="S146" s="69"/>
      <c r="T146" s="68"/>
      <c r="U146" s="69"/>
      <c r="V146" s="69">
        <f t="shared" si="18"/>
        <v>12133121.317966379</v>
      </c>
      <c r="W146" s="69">
        <f t="shared" si="18"/>
        <v>705237.67660679575</v>
      </c>
      <c r="X146" s="71">
        <f t="shared" si="21"/>
        <v>12133121.317966379</v>
      </c>
      <c r="Y146" s="71">
        <f t="shared" si="21"/>
        <v>705237.67660679575</v>
      </c>
      <c r="Z146" s="71"/>
      <c r="AA146" s="71"/>
      <c r="AB146" s="71">
        <f>Y146-Z146-AA146</f>
        <v>705237.67660679575</v>
      </c>
      <c r="AC146" s="72">
        <v>19716322.141695369</v>
      </c>
      <c r="AD146" s="72">
        <f>AB146/J146/K146/9*M146</f>
        <v>13481245.90885153</v>
      </c>
      <c r="AE146" s="72"/>
      <c r="AF146" s="73"/>
      <c r="AG146" s="73">
        <f t="shared" si="19"/>
        <v>705237.67660679575</v>
      </c>
      <c r="AH146" s="74">
        <f>AB146/J146/K146/8*M146</f>
        <v>15166401.647457972</v>
      </c>
      <c r="AI146" s="74"/>
    </row>
    <row r="147" spans="1:35" s="75" customFormat="1" ht="25.5">
      <c r="A147" s="62">
        <f t="shared" si="22"/>
        <v>136</v>
      </c>
      <c r="B147" s="63" t="s">
        <v>236</v>
      </c>
      <c r="C147" s="64" t="s">
        <v>237</v>
      </c>
      <c r="D147" s="63" t="s">
        <v>80</v>
      </c>
      <c r="E147" s="63" t="s">
        <v>41</v>
      </c>
      <c r="F147" s="63"/>
      <c r="G147" s="63"/>
      <c r="H147" s="65">
        <v>43556</v>
      </c>
      <c r="I147" s="66">
        <v>10000000</v>
      </c>
      <c r="J147" s="67">
        <v>7.7499999999999999E-2</v>
      </c>
      <c r="K147" s="68">
        <v>0.9</v>
      </c>
      <c r="L147" s="69">
        <v>8</v>
      </c>
      <c r="M147" s="68">
        <v>12</v>
      </c>
      <c r="N147" s="69">
        <f t="shared" si="23"/>
        <v>465000</v>
      </c>
      <c r="O147" s="69">
        <f t="shared" si="24"/>
        <v>6066560.6589831896</v>
      </c>
      <c r="P147" s="69">
        <f t="shared" si="25"/>
        <v>282095.07064271829</v>
      </c>
      <c r="Q147" s="69">
        <f t="shared" si="26"/>
        <v>182904.92935728171</v>
      </c>
      <c r="R147" s="70">
        <v>0.606656065898319</v>
      </c>
      <c r="S147" s="69"/>
      <c r="T147" s="68"/>
      <c r="U147" s="69"/>
      <c r="V147" s="69">
        <f t="shared" si="18"/>
        <v>6066560.6589831896</v>
      </c>
      <c r="W147" s="69">
        <f t="shared" si="18"/>
        <v>282095.07064271829</v>
      </c>
      <c r="X147" s="71">
        <f t="shared" si="21"/>
        <v>6066560.6589831896</v>
      </c>
      <c r="Y147" s="71">
        <f t="shared" si="21"/>
        <v>282095.07064271829</v>
      </c>
      <c r="Z147" s="71"/>
      <c r="AA147" s="71"/>
      <c r="AB147" s="71">
        <f>Y147-Z147-AA147</f>
        <v>282095.07064271829</v>
      </c>
      <c r="AC147" s="72">
        <v>0</v>
      </c>
      <c r="AD147" s="72">
        <f>AB147/J147/K147/9*M147</f>
        <v>5392498.3635406131</v>
      </c>
      <c r="AE147" s="72"/>
      <c r="AF147" s="73"/>
      <c r="AG147" s="73">
        <f t="shared" si="19"/>
        <v>282095.07064271829</v>
      </c>
      <c r="AH147" s="74">
        <f>AB147/J147/K147/8*M147</f>
        <v>6066560.6589831896</v>
      </c>
      <c r="AI147" s="74"/>
    </row>
    <row r="148" spans="1:35" s="75" customFormat="1" ht="25.5">
      <c r="A148" s="62">
        <f t="shared" si="22"/>
        <v>137</v>
      </c>
      <c r="B148" s="63" t="s">
        <v>236</v>
      </c>
      <c r="C148" s="64" t="s">
        <v>237</v>
      </c>
      <c r="D148" s="63" t="s">
        <v>80</v>
      </c>
      <c r="E148" s="63" t="s">
        <v>41</v>
      </c>
      <c r="F148" s="63"/>
      <c r="G148" s="63"/>
      <c r="H148" s="65">
        <v>43709</v>
      </c>
      <c r="I148" s="66">
        <v>15000000</v>
      </c>
      <c r="J148" s="67">
        <v>7.7499999999999999E-2</v>
      </c>
      <c r="K148" s="68">
        <v>0.9</v>
      </c>
      <c r="L148" s="69">
        <v>3</v>
      </c>
      <c r="M148" s="68">
        <v>12</v>
      </c>
      <c r="N148" s="69">
        <f t="shared" si="23"/>
        <v>261562.5</v>
      </c>
      <c r="O148" s="69">
        <f t="shared" si="24"/>
        <v>9099840.9884747844</v>
      </c>
      <c r="P148" s="69">
        <f t="shared" si="25"/>
        <v>158678.47723652906</v>
      </c>
      <c r="Q148" s="69">
        <f t="shared" si="26"/>
        <v>102884.02276347094</v>
      </c>
      <c r="R148" s="70">
        <v>0.606656065898319</v>
      </c>
      <c r="S148" s="69"/>
      <c r="T148" s="68"/>
      <c r="U148" s="69"/>
      <c r="V148" s="69">
        <f t="shared" si="18"/>
        <v>9099840.9884747844</v>
      </c>
      <c r="W148" s="69">
        <f t="shared" si="18"/>
        <v>158678.47723652906</v>
      </c>
      <c r="X148" s="71">
        <f t="shared" si="21"/>
        <v>9099840.9884747844</v>
      </c>
      <c r="Y148" s="71">
        <f t="shared" si="21"/>
        <v>158678.47723652906</v>
      </c>
      <c r="Z148" s="71"/>
      <c r="AA148" s="71"/>
      <c r="AB148" s="71">
        <f>Y148-Z148-AA148</f>
        <v>158678.47723652906</v>
      </c>
      <c r="AC148" s="72">
        <v>0</v>
      </c>
      <c r="AD148" s="72">
        <f>AB148/J148/K148/9*M148</f>
        <v>3033280.3294915948</v>
      </c>
      <c r="AE148" s="72"/>
      <c r="AF148" s="73"/>
      <c r="AG148" s="73">
        <f t="shared" si="19"/>
        <v>158678.47723652906</v>
      </c>
      <c r="AH148" s="74">
        <f>AB148/J148/K148/8*M148</f>
        <v>3412440.3706780439</v>
      </c>
      <c r="AI148" s="74"/>
    </row>
    <row r="149" spans="1:35" s="75" customFormat="1" ht="25.5">
      <c r="A149" s="62">
        <f t="shared" si="22"/>
        <v>138</v>
      </c>
      <c r="B149" s="63" t="s">
        <v>238</v>
      </c>
      <c r="C149" s="64" t="s">
        <v>239</v>
      </c>
      <c r="D149" s="63" t="s">
        <v>240</v>
      </c>
      <c r="E149" s="63" t="s">
        <v>41</v>
      </c>
      <c r="F149" s="63"/>
      <c r="G149" s="63"/>
      <c r="H149" s="65">
        <v>43497</v>
      </c>
      <c r="I149" s="66">
        <v>40000000</v>
      </c>
      <c r="J149" s="67">
        <v>7.7499999999999999E-2</v>
      </c>
      <c r="K149" s="68">
        <v>0.9</v>
      </c>
      <c r="L149" s="69">
        <v>10</v>
      </c>
      <c r="M149" s="68">
        <v>12</v>
      </c>
      <c r="N149" s="69">
        <f t="shared" si="23"/>
        <v>2325000</v>
      </c>
      <c r="O149" s="69">
        <f t="shared" si="24"/>
        <v>24266242.635932758</v>
      </c>
      <c r="P149" s="69">
        <f t="shared" si="25"/>
        <v>1410475.3532135915</v>
      </c>
      <c r="Q149" s="69">
        <f t="shared" si="26"/>
        <v>914524.6467864085</v>
      </c>
      <c r="R149" s="70">
        <v>0.606656065898319</v>
      </c>
      <c r="S149" s="69"/>
      <c r="T149" s="68"/>
      <c r="U149" s="69"/>
      <c r="V149" s="69">
        <f t="shared" si="18"/>
        <v>24266242.635932758</v>
      </c>
      <c r="W149" s="69">
        <f t="shared" si="18"/>
        <v>1410475.3532135915</v>
      </c>
      <c r="X149" s="71">
        <f t="shared" si="21"/>
        <v>24266242.635932758</v>
      </c>
      <c r="Y149" s="71">
        <f t="shared" si="21"/>
        <v>1410475.3532135915</v>
      </c>
      <c r="Z149" s="71">
        <v>1395000</v>
      </c>
      <c r="AA149" s="71"/>
      <c r="AB149" s="71">
        <f>Y149-Z149-AA149</f>
        <v>15475.353213591501</v>
      </c>
      <c r="AC149" s="72">
        <v>-10733757.364067242</v>
      </c>
      <c r="AD149" s="72">
        <f>AB149/J149/K149/9*M149</f>
        <v>295825.15103639662</v>
      </c>
      <c r="AE149" s="72"/>
      <c r="AF149" s="73"/>
      <c r="AG149" s="73">
        <f t="shared" si="19"/>
        <v>15475.353213591501</v>
      </c>
      <c r="AH149" s="74">
        <f>AB149/J149/K149/8*M149</f>
        <v>332803.29491594626</v>
      </c>
      <c r="AI149" s="74"/>
    </row>
    <row r="150" spans="1:35" s="127" customFormat="1" ht="38.25">
      <c r="A150" s="110">
        <f t="shared" si="22"/>
        <v>139</v>
      </c>
      <c r="B150" s="111" t="s">
        <v>241</v>
      </c>
      <c r="C150" s="112" t="s">
        <v>242</v>
      </c>
      <c r="D150" s="111" t="s">
        <v>235</v>
      </c>
      <c r="E150" s="113"/>
      <c r="F150" s="111"/>
      <c r="G150" s="111"/>
      <c r="H150" s="114">
        <v>43497</v>
      </c>
      <c r="I150" s="115">
        <v>10000000</v>
      </c>
      <c r="J150" s="116">
        <v>7.7499999999999999E-2</v>
      </c>
      <c r="K150" s="117">
        <v>0.9</v>
      </c>
      <c r="L150" s="118">
        <v>10</v>
      </c>
      <c r="M150" s="117">
        <v>12</v>
      </c>
      <c r="N150" s="118">
        <f t="shared" si="23"/>
        <v>581250</v>
      </c>
      <c r="O150" s="118">
        <f t="shared" si="24"/>
        <v>6066560.6589831896</v>
      </c>
      <c r="P150" s="118">
        <f t="shared" si="25"/>
        <v>352618.83830339788</v>
      </c>
      <c r="Q150" s="118">
        <f t="shared" si="26"/>
        <v>228631.16169660212</v>
      </c>
      <c r="R150" s="119">
        <v>0.606656065898319</v>
      </c>
      <c r="S150" s="118"/>
      <c r="T150" s="117"/>
      <c r="U150" s="120"/>
      <c r="V150" s="118">
        <f t="shared" si="18"/>
        <v>6066560.6589831896</v>
      </c>
      <c r="W150" s="118">
        <f t="shared" si="18"/>
        <v>352618.83830339788</v>
      </c>
      <c r="X150" s="121">
        <f t="shared" si="21"/>
        <v>6066560.6589831896</v>
      </c>
      <c r="Y150" s="121">
        <f>SUM(W150)-25254.4</f>
        <v>327364.43830339785</v>
      </c>
      <c r="Z150" s="121">
        <f>581249.99-Z151-Z152</f>
        <v>327364.42999999993</v>
      </c>
      <c r="AA150" s="121"/>
      <c r="AB150" s="121">
        <f>Y150-Z150-AA150</f>
        <v>8.303397917188704E-3</v>
      </c>
      <c r="AC150" s="122">
        <v>3.2375816255807877E-2</v>
      </c>
      <c r="AD150" s="122">
        <f>AB150/J150/K150/9*M150</f>
        <v>0.15872684190563829</v>
      </c>
      <c r="AE150" s="122"/>
      <c r="AF150" s="123"/>
      <c r="AG150" s="124">
        <f t="shared" si="19"/>
        <v>8.303397917188704E-3</v>
      </c>
      <c r="AH150" s="154">
        <f>AB150/J150/K150/8*M150</f>
        <v>0.1785676971438431</v>
      </c>
      <c r="AI150" s="126"/>
    </row>
    <row r="151" spans="1:35" s="127" customFormat="1" ht="25.5">
      <c r="A151" s="110">
        <f t="shared" si="22"/>
        <v>140</v>
      </c>
      <c r="B151" s="111" t="s">
        <v>241</v>
      </c>
      <c r="C151" s="112" t="s">
        <v>242</v>
      </c>
      <c r="D151" s="111" t="s">
        <v>80</v>
      </c>
      <c r="E151" s="113"/>
      <c r="F151" s="111"/>
      <c r="G151" s="111"/>
      <c r="H151" s="114">
        <v>43556</v>
      </c>
      <c r="I151" s="115">
        <v>6000000</v>
      </c>
      <c r="J151" s="116">
        <v>7.7499999999999999E-2</v>
      </c>
      <c r="K151" s="117">
        <v>0.9</v>
      </c>
      <c r="L151" s="118">
        <v>8</v>
      </c>
      <c r="M151" s="117">
        <v>12</v>
      </c>
      <c r="N151" s="118">
        <f t="shared" si="23"/>
        <v>279000</v>
      </c>
      <c r="O151" s="118">
        <f t="shared" si="24"/>
        <v>3639936.395389914</v>
      </c>
      <c r="P151" s="118">
        <f t="shared" si="25"/>
        <v>169257.04238563101</v>
      </c>
      <c r="Q151" s="118">
        <f t="shared" si="26"/>
        <v>109742.95761436899</v>
      </c>
      <c r="R151" s="119">
        <v>0.606656065898319</v>
      </c>
      <c r="S151" s="118"/>
      <c r="T151" s="117"/>
      <c r="U151" s="120"/>
      <c r="V151" s="118">
        <f t="shared" si="18"/>
        <v>3639936.395389914</v>
      </c>
      <c r="W151" s="118">
        <f t="shared" si="18"/>
        <v>169257.04238563101</v>
      </c>
      <c r="X151" s="121">
        <f t="shared" si="21"/>
        <v>3639936.395389914</v>
      </c>
      <c r="Y151" s="121">
        <f t="shared" si="21"/>
        <v>169257.04238563101</v>
      </c>
      <c r="Z151" s="121">
        <v>169257.04</v>
      </c>
      <c r="AA151" s="121"/>
      <c r="AB151" s="121">
        <f>Y151-Z151-AA151</f>
        <v>2.385630999924615E-3</v>
      </c>
      <c r="AC151" s="122">
        <v>0</v>
      </c>
      <c r="AD151" s="122">
        <f>AB151/J151/K151/9*M151</f>
        <v>4.5603459974664085E-2</v>
      </c>
      <c r="AE151" s="122"/>
      <c r="AF151" s="123"/>
      <c r="AG151" s="124">
        <f t="shared" si="19"/>
        <v>2.385630999924615E-3</v>
      </c>
      <c r="AH151" s="154">
        <f>AB151/J151/K151/8*M151</f>
        <v>5.1303892471497095E-2</v>
      </c>
      <c r="AI151" s="126"/>
    </row>
    <row r="152" spans="1:35" s="127" customFormat="1" ht="25.5">
      <c r="A152" s="110">
        <f t="shared" si="22"/>
        <v>141</v>
      </c>
      <c r="B152" s="111" t="s">
        <v>241</v>
      </c>
      <c r="C152" s="112" t="s">
        <v>242</v>
      </c>
      <c r="D152" s="111" t="s">
        <v>80</v>
      </c>
      <c r="E152" s="113"/>
      <c r="F152" s="111"/>
      <c r="G152" s="111"/>
      <c r="H152" s="114">
        <v>43739</v>
      </c>
      <c r="I152" s="115">
        <v>12000000</v>
      </c>
      <c r="J152" s="116">
        <v>7.7499999999999999E-2</v>
      </c>
      <c r="K152" s="117">
        <v>0.9</v>
      </c>
      <c r="L152" s="118">
        <v>2</v>
      </c>
      <c r="M152" s="117">
        <v>12</v>
      </c>
      <c r="N152" s="118">
        <f t="shared" si="23"/>
        <v>139500</v>
      </c>
      <c r="O152" s="118">
        <f t="shared" si="24"/>
        <v>7279872.7907798281</v>
      </c>
      <c r="P152" s="118">
        <f t="shared" si="25"/>
        <v>84628.521192815504</v>
      </c>
      <c r="Q152" s="118">
        <f t="shared" si="26"/>
        <v>54871.478807184496</v>
      </c>
      <c r="R152" s="119">
        <v>0.606656065898319</v>
      </c>
      <c r="S152" s="118"/>
      <c r="T152" s="117"/>
      <c r="U152" s="120"/>
      <c r="V152" s="118">
        <f t="shared" si="18"/>
        <v>7279872.7907798281</v>
      </c>
      <c r="W152" s="118">
        <f t="shared" si="18"/>
        <v>84628.521192815504</v>
      </c>
      <c r="X152" s="121">
        <f t="shared" si="21"/>
        <v>7279872.7907798281</v>
      </c>
      <c r="Y152" s="121">
        <f t="shared" si="21"/>
        <v>84628.521192815504</v>
      </c>
      <c r="Z152" s="121">
        <v>84628.52</v>
      </c>
      <c r="AA152" s="121"/>
      <c r="AB152" s="121">
        <f>Y152-Z152-AA152</f>
        <v>1.1928154999623075E-3</v>
      </c>
      <c r="AC152" s="122">
        <v>0</v>
      </c>
      <c r="AD152" s="122">
        <f>AB152/J152/K152/9*M152</f>
        <v>2.2801729987332042E-2</v>
      </c>
      <c r="AE152" s="122"/>
      <c r="AF152" s="123"/>
      <c r="AG152" s="124">
        <f t="shared" si="19"/>
        <v>1.1928154999623075E-3</v>
      </c>
      <c r="AH152" s="154">
        <f>AB152/J152/K152/8*M152</f>
        <v>2.5651946235748548E-2</v>
      </c>
      <c r="AI152" s="126"/>
    </row>
    <row r="153" spans="1:35" s="127" customFormat="1" ht="25.5">
      <c r="A153" s="110">
        <f t="shared" si="22"/>
        <v>142</v>
      </c>
      <c r="B153" s="111" t="s">
        <v>243</v>
      </c>
      <c r="C153" s="112" t="s">
        <v>244</v>
      </c>
      <c r="D153" s="111" t="s">
        <v>40</v>
      </c>
      <c r="E153" s="113"/>
      <c r="F153" s="111"/>
      <c r="G153" s="111"/>
      <c r="H153" s="114">
        <v>43525</v>
      </c>
      <c r="I153" s="115">
        <v>7000000</v>
      </c>
      <c r="J153" s="116">
        <v>7.7499999999999999E-2</v>
      </c>
      <c r="K153" s="117">
        <v>0.9</v>
      </c>
      <c r="L153" s="118">
        <v>9</v>
      </c>
      <c r="M153" s="117">
        <v>12</v>
      </c>
      <c r="N153" s="118">
        <f t="shared" si="23"/>
        <v>366187.5</v>
      </c>
      <c r="O153" s="118">
        <f t="shared" si="24"/>
        <v>4246592.4612882333</v>
      </c>
      <c r="P153" s="118">
        <f t="shared" si="25"/>
        <v>222149.86813114071</v>
      </c>
      <c r="Q153" s="118">
        <f t="shared" si="26"/>
        <v>144037.63186885929</v>
      </c>
      <c r="R153" s="119">
        <v>0.606656065898319</v>
      </c>
      <c r="S153" s="143">
        <v>5900000</v>
      </c>
      <c r="T153" s="142">
        <v>342937.5</v>
      </c>
      <c r="U153" s="120">
        <f t="shared" si="20"/>
        <v>222149.86813114071</v>
      </c>
      <c r="V153" s="118">
        <f t="shared" si="18"/>
        <v>-1653407.5387117667</v>
      </c>
      <c r="W153" s="118">
        <f t="shared" si="18"/>
        <v>-120787.63186885929</v>
      </c>
      <c r="X153" s="121">
        <f t="shared" si="21"/>
        <v>-1653407.5387117667</v>
      </c>
      <c r="Y153" s="121">
        <f t="shared" si="21"/>
        <v>-120787.63186885929</v>
      </c>
      <c r="Z153" s="121"/>
      <c r="AA153" s="121"/>
      <c r="AB153" s="121">
        <f>Y153-Z153-AA153</f>
        <v>-120787.63186885929</v>
      </c>
      <c r="AC153" s="122">
        <v>-3440095.4069151278</v>
      </c>
      <c r="AD153" s="122">
        <f>AB153/J153/K153/9*M153</f>
        <v>-2308963.0942673222</v>
      </c>
      <c r="AE153" s="122"/>
      <c r="AF153" s="123"/>
      <c r="AG153" s="124">
        <f t="shared" si="19"/>
        <v>-120787.63186885929</v>
      </c>
      <c r="AH153" s="125">
        <f>AB153/J153/K153/8*M153</f>
        <v>-2597583.4810507372</v>
      </c>
      <c r="AI153" s="126"/>
    </row>
    <row r="154" spans="1:35" s="127" customFormat="1" ht="25.5">
      <c r="A154" s="110">
        <f t="shared" si="22"/>
        <v>143</v>
      </c>
      <c r="B154" s="111" t="s">
        <v>243</v>
      </c>
      <c r="C154" s="112" t="s">
        <v>244</v>
      </c>
      <c r="D154" s="111" t="s">
        <v>73</v>
      </c>
      <c r="E154" s="113"/>
      <c r="F154" s="111"/>
      <c r="G154" s="111"/>
      <c r="H154" s="114">
        <v>43525</v>
      </c>
      <c r="I154" s="115">
        <v>3000000</v>
      </c>
      <c r="J154" s="116">
        <v>7.7499999999999999E-2</v>
      </c>
      <c r="K154" s="117">
        <v>0.9</v>
      </c>
      <c r="L154" s="118">
        <v>9</v>
      </c>
      <c r="M154" s="117">
        <v>12</v>
      </c>
      <c r="N154" s="118">
        <f t="shared" si="23"/>
        <v>156937.5</v>
      </c>
      <c r="O154" s="118">
        <f t="shared" si="24"/>
        <v>1819968.197694957</v>
      </c>
      <c r="P154" s="118">
        <f t="shared" si="25"/>
        <v>95207.086341917442</v>
      </c>
      <c r="Q154" s="118">
        <f t="shared" si="26"/>
        <v>61730.413658082558</v>
      </c>
      <c r="R154" s="119">
        <v>0.606656065898319</v>
      </c>
      <c r="S154" s="143">
        <v>3000000</v>
      </c>
      <c r="T154" s="142">
        <v>174375</v>
      </c>
      <c r="U154" s="120">
        <f t="shared" si="20"/>
        <v>95207.086341917442</v>
      </c>
      <c r="V154" s="118">
        <f t="shared" si="18"/>
        <v>-1180031.802305043</v>
      </c>
      <c r="W154" s="118">
        <f t="shared" si="18"/>
        <v>-79167.913658082558</v>
      </c>
      <c r="X154" s="121">
        <f t="shared" si="21"/>
        <v>-1180031.802305043</v>
      </c>
      <c r="Y154" s="121">
        <f t="shared" si="21"/>
        <v>-79167.913658082558</v>
      </c>
      <c r="Z154" s="121"/>
      <c r="AA154" s="121"/>
      <c r="AB154" s="121">
        <f>Y154-Z154-AA154</f>
        <v>-79167.913658082558</v>
      </c>
      <c r="AC154" s="122">
        <v>0</v>
      </c>
      <c r="AD154" s="122">
        <f>AB154/J154/K154/9*M154</f>
        <v>-1513365.1356383762</v>
      </c>
      <c r="AE154" s="122"/>
      <c r="AF154" s="123"/>
      <c r="AG154" s="124">
        <f t="shared" si="19"/>
        <v>-79167.913658082558</v>
      </c>
      <c r="AH154" s="125">
        <f>AB154/J154/K154/8*M154</f>
        <v>-1702535.7775931736</v>
      </c>
      <c r="AI154" s="126"/>
    </row>
    <row r="155" spans="1:35" s="127" customFormat="1" ht="25.5">
      <c r="A155" s="110">
        <f t="shared" si="22"/>
        <v>144</v>
      </c>
      <c r="B155" s="111" t="s">
        <v>245</v>
      </c>
      <c r="C155" s="112" t="s">
        <v>246</v>
      </c>
      <c r="D155" s="111" t="s">
        <v>73</v>
      </c>
      <c r="E155" s="113"/>
      <c r="F155" s="111"/>
      <c r="G155" s="111"/>
      <c r="H155" s="114">
        <v>43497</v>
      </c>
      <c r="I155" s="115">
        <v>10000000</v>
      </c>
      <c r="J155" s="116">
        <v>7.7499999999999999E-2</v>
      </c>
      <c r="K155" s="117">
        <v>0.9</v>
      </c>
      <c r="L155" s="118">
        <v>10</v>
      </c>
      <c r="M155" s="117">
        <v>12</v>
      </c>
      <c r="N155" s="118">
        <f t="shared" si="23"/>
        <v>581250</v>
      </c>
      <c r="O155" s="118">
        <f t="shared" si="24"/>
        <v>6066560.6589831896</v>
      </c>
      <c r="P155" s="118">
        <f t="shared" si="25"/>
        <v>352618.83830339788</v>
      </c>
      <c r="Q155" s="118">
        <f t="shared" si="26"/>
        <v>228631.16169660212</v>
      </c>
      <c r="R155" s="119">
        <v>0.606656065898319</v>
      </c>
      <c r="S155" s="143">
        <v>15000000</v>
      </c>
      <c r="T155" s="142">
        <v>871875</v>
      </c>
      <c r="U155" s="120">
        <f t="shared" si="20"/>
        <v>352618.83830339788</v>
      </c>
      <c r="V155" s="118">
        <f t="shared" si="18"/>
        <v>-8933439.3410168104</v>
      </c>
      <c r="W155" s="118">
        <f t="shared" si="18"/>
        <v>-519256.16169660212</v>
      </c>
      <c r="X155" s="121">
        <f t="shared" si="21"/>
        <v>-8933439.3410168104</v>
      </c>
      <c r="Y155" s="121">
        <f t="shared" si="21"/>
        <v>-519256.16169660212</v>
      </c>
      <c r="Z155" s="121"/>
      <c r="AA155" s="121"/>
      <c r="AB155" s="121">
        <f>Y155-Z155-AA155</f>
        <v>-519256.16169660212</v>
      </c>
      <c r="AC155" s="122">
        <v>-8933439.3410168104</v>
      </c>
      <c r="AD155" s="122">
        <f>AB155/J155/K155/9*M155</f>
        <v>-9926043.712240899</v>
      </c>
      <c r="AE155" s="122"/>
      <c r="AF155" s="123"/>
      <c r="AG155" s="124">
        <f t="shared" si="19"/>
        <v>-519256.16169660212</v>
      </c>
      <c r="AH155" s="125">
        <f>AB155/J155/K155/8*M155</f>
        <v>-11166799.176271012</v>
      </c>
      <c r="AI155" s="126"/>
    </row>
    <row r="156" spans="1:35" s="127" customFormat="1" ht="25.5">
      <c r="A156" s="110">
        <f t="shared" si="22"/>
        <v>145</v>
      </c>
      <c r="B156" s="111" t="s">
        <v>247</v>
      </c>
      <c r="C156" s="112" t="s">
        <v>248</v>
      </c>
      <c r="D156" s="111" t="s">
        <v>80</v>
      </c>
      <c r="E156" s="113" t="s">
        <v>97</v>
      </c>
      <c r="F156" s="111"/>
      <c r="G156" s="111"/>
      <c r="H156" s="114">
        <v>43525</v>
      </c>
      <c r="I156" s="115">
        <v>20000000</v>
      </c>
      <c r="J156" s="116">
        <v>7.7499999999999999E-2</v>
      </c>
      <c r="K156" s="117">
        <v>0.9</v>
      </c>
      <c r="L156" s="118">
        <v>9</v>
      </c>
      <c r="M156" s="117">
        <v>12</v>
      </c>
      <c r="N156" s="118">
        <f t="shared" si="23"/>
        <v>1046250</v>
      </c>
      <c r="O156" s="118">
        <f t="shared" si="24"/>
        <v>12133121.317966379</v>
      </c>
      <c r="P156" s="118">
        <f t="shared" si="25"/>
        <v>634713.90894611622</v>
      </c>
      <c r="Q156" s="118">
        <f t="shared" si="26"/>
        <v>411536.09105388378</v>
      </c>
      <c r="R156" s="119">
        <v>0.606656065898319</v>
      </c>
      <c r="S156" s="118"/>
      <c r="T156" s="117"/>
      <c r="U156" s="120"/>
      <c r="V156" s="118">
        <f t="shared" si="18"/>
        <v>12133121.317966379</v>
      </c>
      <c r="W156" s="118">
        <f t="shared" si="18"/>
        <v>634713.90894611622</v>
      </c>
      <c r="X156" s="121">
        <f t="shared" si="21"/>
        <v>12133121.317966379</v>
      </c>
      <c r="Y156" s="121">
        <f t="shared" si="21"/>
        <v>634713.90894611622</v>
      </c>
      <c r="Z156" s="121">
        <f>1586231.25-Z157</f>
        <v>634713.91</v>
      </c>
      <c r="AA156" s="121"/>
      <c r="AB156" s="121">
        <f>Y156-Z156-AA156</f>
        <v>-1.0538838105276227E-3</v>
      </c>
      <c r="AC156" s="122">
        <v>9522.9654243513942</v>
      </c>
      <c r="AD156" s="122">
        <f>AB156/J156/K156/9*M156</f>
        <v>-2.0145927082965309E-2</v>
      </c>
      <c r="AE156" s="122"/>
      <c r="AF156" s="123"/>
      <c r="AG156" s="124">
        <f t="shared" si="19"/>
        <v>-1.0538838105276227E-3</v>
      </c>
      <c r="AH156" s="125">
        <f>AB156/J156/K156/8*M156</f>
        <v>-2.2664167968335973E-2</v>
      </c>
      <c r="AI156" s="126"/>
    </row>
    <row r="157" spans="1:35" s="127" customFormat="1" ht="25.5">
      <c r="A157" s="110">
        <f t="shared" si="22"/>
        <v>146</v>
      </c>
      <c r="B157" s="111" t="s">
        <v>247</v>
      </c>
      <c r="C157" s="112" t="s">
        <v>248</v>
      </c>
      <c r="D157" s="111" t="s">
        <v>40</v>
      </c>
      <c r="E157" s="113" t="s">
        <v>97</v>
      </c>
      <c r="F157" s="111"/>
      <c r="G157" s="111"/>
      <c r="H157" s="114">
        <v>43525</v>
      </c>
      <c r="I157" s="115">
        <v>30000000</v>
      </c>
      <c r="J157" s="116">
        <v>7.7499999999999999E-2</v>
      </c>
      <c r="K157" s="117">
        <v>0.9</v>
      </c>
      <c r="L157" s="118">
        <v>9</v>
      </c>
      <c r="M157" s="117">
        <v>12</v>
      </c>
      <c r="N157" s="118">
        <f t="shared" si="23"/>
        <v>1569375</v>
      </c>
      <c r="O157" s="118">
        <f t="shared" si="24"/>
        <v>18199681.976949569</v>
      </c>
      <c r="P157" s="118">
        <f t="shared" si="25"/>
        <v>952070.86341917433</v>
      </c>
      <c r="Q157" s="118">
        <f t="shared" si="26"/>
        <v>617304.13658082567</v>
      </c>
      <c r="R157" s="119">
        <v>0.606656065898319</v>
      </c>
      <c r="S157" s="118"/>
      <c r="T157" s="117"/>
      <c r="U157" s="120"/>
      <c r="V157" s="118">
        <f t="shared" si="18"/>
        <v>18199681.976949569</v>
      </c>
      <c r="W157" s="118">
        <f t="shared" si="18"/>
        <v>952070.86341917433</v>
      </c>
      <c r="X157" s="121">
        <f t="shared" si="21"/>
        <v>18199681.976949569</v>
      </c>
      <c r="Y157" s="121">
        <f t="shared" si="21"/>
        <v>952070.86341917433</v>
      </c>
      <c r="Z157" s="121">
        <v>951517.34</v>
      </c>
      <c r="AA157" s="121"/>
      <c r="AB157" s="121">
        <f>Y157-Z157-AA157</f>
        <v>553.5234191743657</v>
      </c>
      <c r="AC157" s="122">
        <v>0</v>
      </c>
      <c r="AD157" s="122">
        <f>AB157/J157/K157/9*M157</f>
        <v>10581.092839653345</v>
      </c>
      <c r="AE157" s="122"/>
      <c r="AF157" s="123"/>
      <c r="AG157" s="124">
        <f t="shared" si="19"/>
        <v>553.5234191743657</v>
      </c>
      <c r="AH157" s="154">
        <f>AB157/J157/K157/8*M157</f>
        <v>11903.729444610015</v>
      </c>
      <c r="AI157" s="126"/>
    </row>
    <row r="158" spans="1:35" s="127" customFormat="1" ht="25.5">
      <c r="A158" s="110">
        <f t="shared" si="22"/>
        <v>147</v>
      </c>
      <c r="B158" s="111" t="s">
        <v>249</v>
      </c>
      <c r="C158" s="112" t="s">
        <v>250</v>
      </c>
      <c r="D158" s="111" t="s">
        <v>40</v>
      </c>
      <c r="E158" s="113" t="s">
        <v>97</v>
      </c>
      <c r="F158" s="111"/>
      <c r="G158" s="111"/>
      <c r="H158" s="114">
        <v>43525</v>
      </c>
      <c r="I158" s="115">
        <v>12000000</v>
      </c>
      <c r="J158" s="116">
        <v>7.7499999999999999E-2</v>
      </c>
      <c r="K158" s="117">
        <v>0.9</v>
      </c>
      <c r="L158" s="118">
        <v>9</v>
      </c>
      <c r="M158" s="117">
        <v>12</v>
      </c>
      <c r="N158" s="118">
        <f t="shared" si="23"/>
        <v>627750</v>
      </c>
      <c r="O158" s="118">
        <f t="shared" si="24"/>
        <v>7279872.7907798281</v>
      </c>
      <c r="P158" s="118">
        <f t="shared" si="25"/>
        <v>380828.34536766977</v>
      </c>
      <c r="Q158" s="118">
        <f t="shared" si="26"/>
        <v>246921.65463233023</v>
      </c>
      <c r="R158" s="119">
        <v>0.606656065898319</v>
      </c>
      <c r="S158" s="118"/>
      <c r="T158" s="117"/>
      <c r="U158" s="120"/>
      <c r="V158" s="118">
        <f t="shared" si="18"/>
        <v>7279872.7907798281</v>
      </c>
      <c r="W158" s="118">
        <f t="shared" si="18"/>
        <v>380828.34536766977</v>
      </c>
      <c r="X158" s="121">
        <f t="shared" si="21"/>
        <v>7279872.7907798281</v>
      </c>
      <c r="Y158" s="121">
        <f t="shared" si="21"/>
        <v>380828.34536766977</v>
      </c>
      <c r="Z158" s="121"/>
      <c r="AA158" s="121">
        <f>901664.06-AA159</f>
        <v>380828.35000000003</v>
      </c>
      <c r="AB158" s="121">
        <f>Y158-Z158-AA158</f>
        <v>-4.6323302667587996E-3</v>
      </c>
      <c r="AC158" s="122">
        <v>-3620286.2207453903</v>
      </c>
      <c r="AD158" s="122">
        <f>AB158/J158/K158/9*M158</f>
        <v>-8.8551116210443009E-2</v>
      </c>
      <c r="AE158" s="122"/>
      <c r="AF158" s="123"/>
      <c r="AG158" s="124">
        <f t="shared" si="19"/>
        <v>-4.6323302667587996E-3</v>
      </c>
      <c r="AH158" s="125">
        <f>AB158/J158/K158/8*M158</f>
        <v>-9.9620005736748368E-2</v>
      </c>
      <c r="AI158" s="126"/>
    </row>
    <row r="159" spans="1:35" s="75" customFormat="1">
      <c r="A159" s="62">
        <f t="shared" si="22"/>
        <v>148</v>
      </c>
      <c r="B159" s="63" t="s">
        <v>249</v>
      </c>
      <c r="C159" s="64" t="s">
        <v>250</v>
      </c>
      <c r="D159" s="63" t="s">
        <v>251</v>
      </c>
      <c r="E159" s="63" t="s">
        <v>97</v>
      </c>
      <c r="F159" s="63"/>
      <c r="G159" s="63"/>
      <c r="H159" s="65">
        <v>43525</v>
      </c>
      <c r="I159" s="66">
        <v>18000000</v>
      </c>
      <c r="J159" s="67">
        <v>7.7499999999999999E-2</v>
      </c>
      <c r="K159" s="68">
        <v>0.9</v>
      </c>
      <c r="L159" s="69">
        <v>9</v>
      </c>
      <c r="M159" s="68">
        <v>12</v>
      </c>
      <c r="N159" s="69">
        <f t="shared" si="23"/>
        <v>941625</v>
      </c>
      <c r="O159" s="69">
        <f t="shared" si="24"/>
        <v>10919809.186169742</v>
      </c>
      <c r="P159" s="69">
        <f t="shared" si="25"/>
        <v>571242.51805150451</v>
      </c>
      <c r="Q159" s="69">
        <f t="shared" si="26"/>
        <v>370382.48194849549</v>
      </c>
      <c r="R159" s="70">
        <v>0.606656065898319</v>
      </c>
      <c r="S159" s="69"/>
      <c r="T159" s="68"/>
      <c r="U159" s="69"/>
      <c r="V159" s="69">
        <f t="shared" si="18"/>
        <v>10919809.186169742</v>
      </c>
      <c r="W159" s="69">
        <f t="shared" si="18"/>
        <v>571242.51805150451</v>
      </c>
      <c r="X159" s="71">
        <f t="shared" si="21"/>
        <v>10919809.186169742</v>
      </c>
      <c r="Y159" s="71">
        <f t="shared" si="21"/>
        <v>571242.51805150451</v>
      </c>
      <c r="Z159" s="71"/>
      <c r="AA159" s="71">
        <v>520835.71</v>
      </c>
      <c r="AB159" s="71">
        <f>Y159-Z159-AA159</f>
        <v>50406.808051504486</v>
      </c>
      <c r="AC159" s="72">
        <v>0</v>
      </c>
      <c r="AD159" s="72">
        <f>AB159/J159/K159/9*M159</f>
        <v>963571.00217929739</v>
      </c>
      <c r="AE159" s="72"/>
      <c r="AF159" s="73"/>
      <c r="AG159" s="73">
        <f t="shared" si="19"/>
        <v>50406.808051504486</v>
      </c>
      <c r="AH159" s="74">
        <f>AB159/J159/K159/8*M159</f>
        <v>1084017.3774517095</v>
      </c>
      <c r="AI159" s="74"/>
    </row>
    <row r="160" spans="1:35" s="75" customFormat="1">
      <c r="A160" s="62">
        <f t="shared" si="22"/>
        <v>149</v>
      </c>
      <c r="B160" s="63" t="s">
        <v>252</v>
      </c>
      <c r="C160" s="64" t="s">
        <v>253</v>
      </c>
      <c r="D160" s="63" t="s">
        <v>251</v>
      </c>
      <c r="E160" s="63" t="s">
        <v>97</v>
      </c>
      <c r="F160" s="63"/>
      <c r="G160" s="63"/>
      <c r="H160" s="65">
        <v>43525</v>
      </c>
      <c r="I160" s="66">
        <v>40000000</v>
      </c>
      <c r="J160" s="67">
        <v>7.7499999999999999E-2</v>
      </c>
      <c r="K160" s="68">
        <v>0.9</v>
      </c>
      <c r="L160" s="69">
        <v>9</v>
      </c>
      <c r="M160" s="68">
        <v>12</v>
      </c>
      <c r="N160" s="69">
        <f t="shared" si="23"/>
        <v>2092500</v>
      </c>
      <c r="O160" s="69">
        <f t="shared" si="24"/>
        <v>24266242.635932758</v>
      </c>
      <c r="P160" s="69">
        <f t="shared" si="25"/>
        <v>1269427.8178922324</v>
      </c>
      <c r="Q160" s="69">
        <f t="shared" si="26"/>
        <v>823072.18210776756</v>
      </c>
      <c r="R160" s="70">
        <v>0.606656065898319</v>
      </c>
      <c r="S160" s="69"/>
      <c r="T160" s="68"/>
      <c r="U160" s="69"/>
      <c r="V160" s="69">
        <f t="shared" si="18"/>
        <v>24266242.635932758</v>
      </c>
      <c r="W160" s="69">
        <f t="shared" si="18"/>
        <v>1269427.8178922324</v>
      </c>
      <c r="X160" s="71">
        <f t="shared" si="21"/>
        <v>24266242.635932758</v>
      </c>
      <c r="Y160" s="71">
        <f t="shared" si="21"/>
        <v>1269427.8178922324</v>
      </c>
      <c r="Z160" s="71">
        <f>348749.99+813749.99</f>
        <v>1162499.98</v>
      </c>
      <c r="AA160" s="71"/>
      <c r="AB160" s="71">
        <f>Y160-Z160-AA160</f>
        <v>106927.83789223246</v>
      </c>
      <c r="AC160" s="72">
        <v>23679236.744678959</v>
      </c>
      <c r="AD160" s="72">
        <f>AB160/J160/K160/9*M160</f>
        <v>2044020.7960283388</v>
      </c>
      <c r="AE160" s="72"/>
      <c r="AF160" s="73"/>
      <c r="AG160" s="73">
        <f t="shared" si="19"/>
        <v>106927.83789223246</v>
      </c>
      <c r="AH160" s="74">
        <f>AB160/J160/K160/8*M160</f>
        <v>2299523.3955318811</v>
      </c>
      <c r="AI160" s="74"/>
    </row>
    <row r="161" spans="1:35" s="75" customFormat="1" ht="25.5">
      <c r="A161" s="62">
        <f t="shared" si="22"/>
        <v>150</v>
      </c>
      <c r="B161" s="63" t="s">
        <v>252</v>
      </c>
      <c r="C161" s="64" t="s">
        <v>253</v>
      </c>
      <c r="D161" s="63" t="s">
        <v>40</v>
      </c>
      <c r="E161" s="63" t="s">
        <v>97</v>
      </c>
      <c r="F161" s="63"/>
      <c r="G161" s="63"/>
      <c r="H161" s="65">
        <v>43525</v>
      </c>
      <c r="I161" s="66">
        <v>40000000</v>
      </c>
      <c r="J161" s="67">
        <v>7.7499999999999999E-2</v>
      </c>
      <c r="K161" s="68">
        <v>0.9</v>
      </c>
      <c r="L161" s="69">
        <v>9</v>
      </c>
      <c r="M161" s="68">
        <v>12</v>
      </c>
      <c r="N161" s="69">
        <f t="shared" si="23"/>
        <v>2092500</v>
      </c>
      <c r="O161" s="69">
        <f t="shared" si="24"/>
        <v>24266242.635932758</v>
      </c>
      <c r="P161" s="69">
        <f t="shared" si="25"/>
        <v>1269427.8178922324</v>
      </c>
      <c r="Q161" s="69">
        <f t="shared" si="26"/>
        <v>823072.18210776756</v>
      </c>
      <c r="R161" s="70">
        <v>0.606656065898319</v>
      </c>
      <c r="S161" s="69"/>
      <c r="T161" s="68"/>
      <c r="U161" s="69"/>
      <c r="V161" s="69">
        <f t="shared" si="18"/>
        <v>24266242.635932758</v>
      </c>
      <c r="W161" s="69">
        <f t="shared" si="18"/>
        <v>1269427.8178922324</v>
      </c>
      <c r="X161" s="71">
        <f t="shared" si="21"/>
        <v>24266242.635932758</v>
      </c>
      <c r="Y161" s="71">
        <f t="shared" si="21"/>
        <v>1269427.8178922324</v>
      </c>
      <c r="Z161" s="71"/>
      <c r="AA161" s="71"/>
      <c r="AB161" s="71">
        <f>Y161-Z161-AA161</f>
        <v>1269427.8178922324</v>
      </c>
      <c r="AC161" s="72">
        <v>0</v>
      </c>
      <c r="AD161" s="72">
        <f>AB161/J161/K161/9*M161</f>
        <v>24266242.635932758</v>
      </c>
      <c r="AE161" s="72"/>
      <c r="AF161" s="73"/>
      <c r="AG161" s="73">
        <f t="shared" si="19"/>
        <v>1269427.8178922324</v>
      </c>
      <c r="AH161" s="74">
        <f>AB161/J161/K161/8*M161</f>
        <v>27299522.965424351</v>
      </c>
      <c r="AI161" s="74"/>
    </row>
    <row r="162" spans="1:35" s="155" customFormat="1" ht="25.5">
      <c r="A162" s="145">
        <f t="shared" si="22"/>
        <v>151</v>
      </c>
      <c r="B162" s="113" t="s">
        <v>254</v>
      </c>
      <c r="C162" s="146" t="s">
        <v>255</v>
      </c>
      <c r="D162" s="113" t="s">
        <v>40</v>
      </c>
      <c r="E162" s="113" t="s">
        <v>97</v>
      </c>
      <c r="F162" s="113"/>
      <c r="G162" s="113"/>
      <c r="H162" s="147">
        <v>43525</v>
      </c>
      <c r="I162" s="148">
        <v>12000000</v>
      </c>
      <c r="J162" s="149">
        <v>7.7499999999999999E-2</v>
      </c>
      <c r="K162" s="150">
        <v>0.9</v>
      </c>
      <c r="L162" s="120">
        <v>9</v>
      </c>
      <c r="M162" s="150">
        <v>12</v>
      </c>
      <c r="N162" s="120">
        <f t="shared" si="23"/>
        <v>627750</v>
      </c>
      <c r="O162" s="120">
        <f t="shared" si="24"/>
        <v>7279872.7907798281</v>
      </c>
      <c r="P162" s="120">
        <f t="shared" si="25"/>
        <v>380828.34536766977</v>
      </c>
      <c r="Q162" s="120">
        <f t="shared" si="26"/>
        <v>246921.65463233023</v>
      </c>
      <c r="R162" s="151">
        <v>0.606656065898319</v>
      </c>
      <c r="S162" s="120"/>
      <c r="T162" s="150"/>
      <c r="U162" s="120"/>
      <c r="V162" s="120">
        <f t="shared" si="18"/>
        <v>7279872.7907798281</v>
      </c>
      <c r="W162" s="120">
        <f t="shared" si="18"/>
        <v>380828.34536766977</v>
      </c>
      <c r="X162" s="152">
        <f t="shared" si="21"/>
        <v>7279872.7907798281</v>
      </c>
      <c r="Y162" s="152">
        <f t="shared" si="21"/>
        <v>380828.34536766977</v>
      </c>
      <c r="Z162" s="152">
        <v>380718.75</v>
      </c>
      <c r="AA162" s="152"/>
      <c r="AB162" s="152">
        <f>Y162-Z162-AA162</f>
        <v>109.59536766976817</v>
      </c>
      <c r="AC162" s="153">
        <v>1885.5117018455639</v>
      </c>
      <c r="AD162" s="153">
        <f>AB162/J162/K162/9*M162</f>
        <v>2095.0130020505267</v>
      </c>
      <c r="AE162" s="153"/>
      <c r="AF162" s="124"/>
      <c r="AG162" s="124">
        <f t="shared" si="19"/>
        <v>109.59536766976817</v>
      </c>
      <c r="AH162" s="154">
        <f>AB162/J162/K162/8*M162</f>
        <v>2356.8896273068422</v>
      </c>
      <c r="AI162" s="154"/>
    </row>
    <row r="163" spans="1:35" s="75" customFormat="1" ht="25.5">
      <c r="A163" s="62">
        <f t="shared" si="22"/>
        <v>152</v>
      </c>
      <c r="B163" s="63" t="s">
        <v>256</v>
      </c>
      <c r="C163" s="64" t="s">
        <v>257</v>
      </c>
      <c r="D163" s="63" t="s">
        <v>40</v>
      </c>
      <c r="E163" s="63" t="s">
        <v>41</v>
      </c>
      <c r="F163" s="63"/>
      <c r="G163" s="63"/>
      <c r="H163" s="65">
        <v>43525</v>
      </c>
      <c r="I163" s="66">
        <v>100000000</v>
      </c>
      <c r="J163" s="67">
        <v>7.7499999999999999E-2</v>
      </c>
      <c r="K163" s="68">
        <v>0.9</v>
      </c>
      <c r="L163" s="69">
        <v>9</v>
      </c>
      <c r="M163" s="68">
        <v>12</v>
      </c>
      <c r="N163" s="69">
        <f t="shared" si="23"/>
        <v>5231250</v>
      </c>
      <c r="O163" s="69">
        <f t="shared" si="24"/>
        <v>60665606.589831896</v>
      </c>
      <c r="P163" s="69">
        <f t="shared" si="25"/>
        <v>3173569.5447305809</v>
      </c>
      <c r="Q163" s="69">
        <f t="shared" si="26"/>
        <v>2057680.4552694191</v>
      </c>
      <c r="R163" s="70">
        <v>0.606656065898319</v>
      </c>
      <c r="S163" s="69"/>
      <c r="T163" s="68"/>
      <c r="U163" s="69"/>
      <c r="V163" s="69">
        <f t="shared" si="18"/>
        <v>60665606.589831896</v>
      </c>
      <c r="W163" s="69">
        <f t="shared" si="18"/>
        <v>3173569.5447305809</v>
      </c>
      <c r="X163" s="71">
        <f t="shared" si="21"/>
        <v>60665606.589831896</v>
      </c>
      <c r="Y163" s="71">
        <f t="shared" si="21"/>
        <v>3173569.5447305809</v>
      </c>
      <c r="Z163" s="71"/>
      <c r="AA163" s="71"/>
      <c r="AB163" s="71">
        <f>Y163-Z163-AA163</f>
        <v>3173569.5447305809</v>
      </c>
      <c r="AC163" s="72">
        <v>54599045.930848703</v>
      </c>
      <c r="AD163" s="72">
        <f>AB163/J163/K163/9*M163</f>
        <v>60665606.589831904</v>
      </c>
      <c r="AE163" s="72"/>
      <c r="AF163" s="73"/>
      <c r="AG163" s="73">
        <f t="shared" si="19"/>
        <v>3173569.5447305809</v>
      </c>
      <c r="AH163" s="74">
        <f>AB163/J163/K163/8*M163</f>
        <v>68248807.413560882</v>
      </c>
      <c r="AI163" s="74"/>
    </row>
    <row r="164" spans="1:35" s="75" customFormat="1" ht="25.5">
      <c r="A164" s="62">
        <f t="shared" si="22"/>
        <v>153</v>
      </c>
      <c r="B164" s="63" t="s">
        <v>258</v>
      </c>
      <c r="C164" s="64" t="s">
        <v>259</v>
      </c>
      <c r="D164" s="63" t="s">
        <v>40</v>
      </c>
      <c r="E164" s="63" t="s">
        <v>41</v>
      </c>
      <c r="F164" s="63"/>
      <c r="G164" s="63"/>
      <c r="H164" s="65">
        <v>43525</v>
      </c>
      <c r="I164" s="66">
        <v>8000000</v>
      </c>
      <c r="J164" s="67">
        <v>7.7499999999999999E-2</v>
      </c>
      <c r="K164" s="68">
        <v>0.9</v>
      </c>
      <c r="L164" s="69">
        <v>9</v>
      </c>
      <c r="M164" s="68">
        <v>12</v>
      </c>
      <c r="N164" s="69">
        <f t="shared" si="23"/>
        <v>418500</v>
      </c>
      <c r="O164" s="69">
        <f t="shared" si="24"/>
        <v>4853248.5271865521</v>
      </c>
      <c r="P164" s="69">
        <f t="shared" si="25"/>
        <v>253885.56357844651</v>
      </c>
      <c r="Q164" s="69">
        <f t="shared" si="26"/>
        <v>164614.43642155349</v>
      </c>
      <c r="R164" s="70">
        <v>0.606656065898319</v>
      </c>
      <c r="S164" s="69"/>
      <c r="T164" s="68"/>
      <c r="U164" s="69"/>
      <c r="V164" s="69">
        <f t="shared" si="18"/>
        <v>4853248.5271865521</v>
      </c>
      <c r="W164" s="69">
        <f t="shared" si="18"/>
        <v>253885.56357844651</v>
      </c>
      <c r="X164" s="71">
        <f t="shared" si="21"/>
        <v>4853248.5271865521</v>
      </c>
      <c r="Y164" s="71">
        <f t="shared" si="21"/>
        <v>253885.56357844651</v>
      </c>
      <c r="Z164" s="71"/>
      <c r="AA164" s="71"/>
      <c r="AB164" s="71">
        <f>Y164-Z164-AA164</f>
        <v>253885.56357844651</v>
      </c>
      <c r="AC164" s="72">
        <v>4367923.674467897</v>
      </c>
      <c r="AD164" s="72">
        <f>AB164/J164/K164/9*M164</f>
        <v>4853248.5271865521</v>
      </c>
      <c r="AE164" s="72"/>
      <c r="AF164" s="73"/>
      <c r="AG164" s="73">
        <f t="shared" si="19"/>
        <v>253885.56357844651</v>
      </c>
      <c r="AH164" s="74">
        <f>AB164/J164/K164/8*M164</f>
        <v>5459904.5930848708</v>
      </c>
      <c r="AI164" s="74"/>
    </row>
    <row r="165" spans="1:35" s="75" customFormat="1" ht="25.5">
      <c r="A165" s="62">
        <f t="shared" si="22"/>
        <v>154</v>
      </c>
      <c r="B165" s="63" t="s">
        <v>260</v>
      </c>
      <c r="C165" s="64" t="s">
        <v>261</v>
      </c>
      <c r="D165" s="63" t="s">
        <v>40</v>
      </c>
      <c r="E165" s="63" t="s">
        <v>41</v>
      </c>
      <c r="F165" s="63"/>
      <c r="G165" s="63"/>
      <c r="H165" s="65">
        <v>43586</v>
      </c>
      <c r="I165" s="66">
        <v>5000000</v>
      </c>
      <c r="J165" s="67">
        <v>7.7499999999999999E-2</v>
      </c>
      <c r="K165" s="68">
        <v>0.9</v>
      </c>
      <c r="L165" s="69">
        <v>7</v>
      </c>
      <c r="M165" s="68">
        <v>12</v>
      </c>
      <c r="N165" s="69">
        <f t="shared" si="23"/>
        <v>203437.5</v>
      </c>
      <c r="O165" s="69">
        <f t="shared" si="24"/>
        <v>3033280.3294915948</v>
      </c>
      <c r="P165" s="69">
        <f t="shared" si="25"/>
        <v>123416.59340618925</v>
      </c>
      <c r="Q165" s="69">
        <f t="shared" si="26"/>
        <v>80020.906593810752</v>
      </c>
      <c r="R165" s="70">
        <v>0.606656065898319</v>
      </c>
      <c r="S165" s="69"/>
      <c r="T165" s="68"/>
      <c r="U165" s="69"/>
      <c r="V165" s="69">
        <f t="shared" si="18"/>
        <v>3033280.3294915948</v>
      </c>
      <c r="W165" s="69">
        <f t="shared" si="18"/>
        <v>123416.59340618925</v>
      </c>
      <c r="X165" s="71">
        <f t="shared" si="21"/>
        <v>3033280.3294915948</v>
      </c>
      <c r="Y165" s="71">
        <f t="shared" si="21"/>
        <v>123416.59340618925</v>
      </c>
      <c r="Z165" s="71"/>
      <c r="AA165" s="71"/>
      <c r="AB165" s="71">
        <f>Y165-Z165-AA165</f>
        <v>123416.59340618925</v>
      </c>
      <c r="AC165" s="72">
        <v>2123296.2306441162</v>
      </c>
      <c r="AD165" s="72">
        <f>AB165/J165/K165/9*M165</f>
        <v>2359218.0340490183</v>
      </c>
      <c r="AE165" s="72"/>
      <c r="AF165" s="73"/>
      <c r="AG165" s="73">
        <f t="shared" si="19"/>
        <v>123416.59340618925</v>
      </c>
      <c r="AH165" s="74">
        <f>AB165/J165/K165/8*M165</f>
        <v>2654120.2883051452</v>
      </c>
      <c r="AI165" s="74"/>
    </row>
    <row r="166" spans="1:35" s="75" customFormat="1" ht="25.5">
      <c r="A166" s="62">
        <f t="shared" si="22"/>
        <v>155</v>
      </c>
      <c r="B166" s="63" t="s">
        <v>262</v>
      </c>
      <c r="C166" s="64" t="s">
        <v>263</v>
      </c>
      <c r="D166" s="63" t="s">
        <v>40</v>
      </c>
      <c r="E166" s="63" t="s">
        <v>41</v>
      </c>
      <c r="F166" s="63"/>
      <c r="G166" s="63"/>
      <c r="H166" s="65">
        <v>43770</v>
      </c>
      <c r="I166" s="66">
        <v>3000000</v>
      </c>
      <c r="J166" s="67">
        <v>7.7499999999999999E-2</v>
      </c>
      <c r="K166" s="68">
        <v>0.9</v>
      </c>
      <c r="L166" s="69">
        <v>1</v>
      </c>
      <c r="M166" s="68">
        <v>12</v>
      </c>
      <c r="N166" s="69">
        <f t="shared" si="23"/>
        <v>17437.5</v>
      </c>
      <c r="O166" s="69">
        <f t="shared" si="24"/>
        <v>1819968.197694957</v>
      </c>
      <c r="P166" s="69">
        <f t="shared" si="25"/>
        <v>10578.565149101938</v>
      </c>
      <c r="Q166" s="69">
        <f t="shared" si="26"/>
        <v>6858.934850898062</v>
      </c>
      <c r="R166" s="70">
        <v>0.606656065898319</v>
      </c>
      <c r="S166" s="69"/>
      <c r="T166" s="68"/>
      <c r="U166" s="69"/>
      <c r="V166" s="69">
        <f t="shared" si="18"/>
        <v>1819968.197694957</v>
      </c>
      <c r="W166" s="69">
        <f t="shared" si="18"/>
        <v>10578.565149101938</v>
      </c>
      <c r="X166" s="71">
        <f t="shared" si="21"/>
        <v>1819968.197694957</v>
      </c>
      <c r="Y166" s="71">
        <f t="shared" si="21"/>
        <v>10578.565149101938</v>
      </c>
      <c r="Z166" s="71"/>
      <c r="AA166" s="71"/>
      <c r="AB166" s="71">
        <f>Y166-Z166-AA166</f>
        <v>10578.565149101938</v>
      </c>
      <c r="AC166" s="72">
        <v>181996.81976949569</v>
      </c>
      <c r="AD166" s="72">
        <f>AB166/J166/K166/9*M166</f>
        <v>202218.688632773</v>
      </c>
      <c r="AE166" s="72"/>
      <c r="AF166" s="73"/>
      <c r="AG166" s="73">
        <f t="shared" si="19"/>
        <v>10578.565149101938</v>
      </c>
      <c r="AH166" s="74">
        <f>AB166/J166/K166/8*M166</f>
        <v>227496.02471186963</v>
      </c>
      <c r="AI166" s="74"/>
    </row>
    <row r="167" spans="1:35" s="127" customFormat="1" ht="25.5">
      <c r="A167" s="110">
        <f t="shared" si="22"/>
        <v>156</v>
      </c>
      <c r="B167" s="111" t="s">
        <v>264</v>
      </c>
      <c r="C167" s="112" t="s">
        <v>265</v>
      </c>
      <c r="D167" s="111" t="s">
        <v>40</v>
      </c>
      <c r="E167" s="113" t="s">
        <v>41</v>
      </c>
      <c r="F167" s="111"/>
      <c r="G167" s="111"/>
      <c r="H167" s="114">
        <v>43586</v>
      </c>
      <c r="I167" s="115">
        <v>3000000</v>
      </c>
      <c r="J167" s="116">
        <v>7.7499999999999999E-2</v>
      </c>
      <c r="K167" s="117">
        <v>0.9</v>
      </c>
      <c r="L167" s="118">
        <v>7</v>
      </c>
      <c r="M167" s="117">
        <v>12</v>
      </c>
      <c r="N167" s="118">
        <f t="shared" si="23"/>
        <v>122062.5</v>
      </c>
      <c r="O167" s="118">
        <f t="shared" si="24"/>
        <v>1819968.197694957</v>
      </c>
      <c r="P167" s="118">
        <f t="shared" si="25"/>
        <v>74049.956043713566</v>
      </c>
      <c r="Q167" s="118">
        <f t="shared" si="26"/>
        <v>48012.543956286434</v>
      </c>
      <c r="R167" s="119">
        <v>0.606656065898319</v>
      </c>
      <c r="S167" s="143">
        <v>2500000</v>
      </c>
      <c r="T167" s="142">
        <v>145312.5</v>
      </c>
      <c r="U167" s="120">
        <f t="shared" si="20"/>
        <v>74049.956043713566</v>
      </c>
      <c r="V167" s="118">
        <f t="shared" si="18"/>
        <v>-680031.80230504298</v>
      </c>
      <c r="W167" s="118">
        <f t="shared" si="18"/>
        <v>-71262.543956286434</v>
      </c>
      <c r="X167" s="121">
        <f t="shared" si="21"/>
        <v>-680031.80230504298</v>
      </c>
      <c r="Y167" s="121">
        <f t="shared" si="21"/>
        <v>-71262.543956286434</v>
      </c>
      <c r="Z167" s="121"/>
      <c r="AA167" s="121"/>
      <c r="AB167" s="121">
        <f>Y167-Z167-AA167</f>
        <v>-71262.543956286434</v>
      </c>
      <c r="AC167" s="122">
        <v>-1226022.2616135301</v>
      </c>
      <c r="AD167" s="122">
        <f>AB167/J167/K167/9*M167</f>
        <v>-1362246.9573483667</v>
      </c>
      <c r="AE167" s="122"/>
      <c r="AF167" s="123"/>
      <c r="AG167" s="124">
        <f t="shared" si="19"/>
        <v>-71262.543956286434</v>
      </c>
      <c r="AH167" s="125">
        <f>AB167/J167/K167/8*M167</f>
        <v>-1532527.8270169126</v>
      </c>
      <c r="AI167" s="126"/>
    </row>
    <row r="168" spans="1:35" s="75" customFormat="1" ht="25.5">
      <c r="A168" s="62">
        <f t="shared" si="22"/>
        <v>157</v>
      </c>
      <c r="B168" s="63" t="s">
        <v>266</v>
      </c>
      <c r="C168" s="64" t="s">
        <v>267</v>
      </c>
      <c r="D168" s="63" t="s">
        <v>40</v>
      </c>
      <c r="E168" s="63" t="s">
        <v>41</v>
      </c>
      <c r="F168" s="63"/>
      <c r="G168" s="63"/>
      <c r="H168" s="65">
        <v>43739</v>
      </c>
      <c r="I168" s="66">
        <v>10000000</v>
      </c>
      <c r="J168" s="67">
        <v>7.7499999999999999E-2</v>
      </c>
      <c r="K168" s="68">
        <v>0.9</v>
      </c>
      <c r="L168" s="69">
        <v>2</v>
      </c>
      <c r="M168" s="68">
        <v>12</v>
      </c>
      <c r="N168" s="69">
        <f t="shared" si="23"/>
        <v>116250</v>
      </c>
      <c r="O168" s="69">
        <f t="shared" si="24"/>
        <v>6066560.6589831896</v>
      </c>
      <c r="P168" s="69">
        <f>O168*J168*K168*L168/M168</f>
        <v>70523.767660679572</v>
      </c>
      <c r="Q168" s="69">
        <f>N168-P168</f>
        <v>45726.232339320428</v>
      </c>
      <c r="R168" s="70">
        <v>0.606656065898319</v>
      </c>
      <c r="S168" s="69"/>
      <c r="T168" s="68"/>
      <c r="U168" s="69"/>
      <c r="V168" s="69">
        <f t="shared" si="18"/>
        <v>6066560.6589831896</v>
      </c>
      <c r="W168" s="69">
        <f t="shared" si="18"/>
        <v>70523.767660679572</v>
      </c>
      <c r="X168" s="71">
        <f t="shared" si="21"/>
        <v>6066560.6589831896</v>
      </c>
      <c r="Y168" s="71">
        <f t="shared" si="21"/>
        <v>70523.767660679572</v>
      </c>
      <c r="Z168" s="71"/>
      <c r="AA168" s="71"/>
      <c r="AB168" s="71">
        <f>Y168-Z168-AA168</f>
        <v>70523.767660679572</v>
      </c>
      <c r="AC168" s="72">
        <v>1213312.1317966378</v>
      </c>
      <c r="AD168" s="72">
        <f>AB168/J168/K168/9*M168</f>
        <v>1348124.5908851533</v>
      </c>
      <c r="AE168" s="72"/>
      <c r="AF168" s="73"/>
      <c r="AG168" s="73">
        <f t="shared" si="19"/>
        <v>70523.767660679572</v>
      </c>
      <c r="AH168" s="74">
        <f>AB168/J168/K168/8*M168</f>
        <v>1516640.1647457974</v>
      </c>
      <c r="AI168" s="74"/>
    </row>
    <row r="169" spans="1:35" s="75" customFormat="1" ht="25.5">
      <c r="A169" s="62">
        <f t="shared" si="22"/>
        <v>158</v>
      </c>
      <c r="B169" s="63" t="s">
        <v>268</v>
      </c>
      <c r="C169" s="64" t="s">
        <v>269</v>
      </c>
      <c r="D169" s="63" t="s">
        <v>40</v>
      </c>
      <c r="E169" s="63" t="s">
        <v>41</v>
      </c>
      <c r="F169" s="63"/>
      <c r="G169" s="63"/>
      <c r="H169" s="65">
        <v>43497</v>
      </c>
      <c r="I169" s="66">
        <v>5000000</v>
      </c>
      <c r="J169" s="67">
        <v>7.7499999999999999E-2</v>
      </c>
      <c r="K169" s="68">
        <v>0.9</v>
      </c>
      <c r="L169" s="69">
        <v>10</v>
      </c>
      <c r="M169" s="68">
        <v>12</v>
      </c>
      <c r="N169" s="69">
        <f t="shared" si="23"/>
        <v>290625</v>
      </c>
      <c r="O169" s="69">
        <f t="shared" si="24"/>
        <v>3033280.3294915948</v>
      </c>
      <c r="P169" s="69">
        <f t="shared" si="25"/>
        <v>176309.41915169894</v>
      </c>
      <c r="Q169" s="69">
        <f t="shared" si="26"/>
        <v>114315.58084830106</v>
      </c>
      <c r="R169" s="70">
        <v>0.606656065898319</v>
      </c>
      <c r="S169" s="69"/>
      <c r="T169" s="68"/>
      <c r="U169" s="69"/>
      <c r="V169" s="69">
        <f t="shared" si="18"/>
        <v>3033280.3294915948</v>
      </c>
      <c r="W169" s="69">
        <f t="shared" si="18"/>
        <v>176309.41915169894</v>
      </c>
      <c r="X169" s="71">
        <f t="shared" si="21"/>
        <v>3033280.3294915948</v>
      </c>
      <c r="Y169" s="71">
        <f t="shared" si="21"/>
        <v>176309.41915169894</v>
      </c>
      <c r="Z169" s="71"/>
      <c r="AA169" s="71"/>
      <c r="AB169" s="71">
        <f>Y169-Z169-AA169</f>
        <v>176309.41915169894</v>
      </c>
      <c r="AC169" s="72">
        <v>5763232.6260340307</v>
      </c>
      <c r="AD169" s="72">
        <f>AB169/J169/K169/9*M169</f>
        <v>3370311.4772128826</v>
      </c>
      <c r="AE169" s="72"/>
      <c r="AF169" s="73"/>
      <c r="AG169" s="73">
        <f t="shared" si="19"/>
        <v>176309.41915169894</v>
      </c>
      <c r="AH169" s="74">
        <f>AB169/J169/K169/8*M169</f>
        <v>3791600.411864493</v>
      </c>
      <c r="AI169" s="74"/>
    </row>
    <row r="170" spans="1:35" s="75" customFormat="1" ht="25.5">
      <c r="A170" s="62">
        <f t="shared" si="22"/>
        <v>159</v>
      </c>
      <c r="B170" s="63" t="s">
        <v>268</v>
      </c>
      <c r="C170" s="64" t="s">
        <v>270</v>
      </c>
      <c r="D170" s="63" t="s">
        <v>80</v>
      </c>
      <c r="E170" s="63" t="s">
        <v>41</v>
      </c>
      <c r="F170" s="63"/>
      <c r="G170" s="63"/>
      <c r="H170" s="65">
        <v>43556</v>
      </c>
      <c r="I170" s="66">
        <v>5000000</v>
      </c>
      <c r="J170" s="67">
        <v>7.7499999999999999E-2</v>
      </c>
      <c r="K170" s="68">
        <v>0.9</v>
      </c>
      <c r="L170" s="69">
        <v>8</v>
      </c>
      <c r="M170" s="68">
        <v>12</v>
      </c>
      <c r="N170" s="69">
        <f t="shared" si="23"/>
        <v>232500</v>
      </c>
      <c r="O170" s="69">
        <f t="shared" si="24"/>
        <v>3033280.3294915948</v>
      </c>
      <c r="P170" s="69">
        <f t="shared" si="25"/>
        <v>141047.53532135914</v>
      </c>
      <c r="Q170" s="69">
        <f t="shared" si="26"/>
        <v>91452.464678640856</v>
      </c>
      <c r="R170" s="70">
        <v>0.606656065898319</v>
      </c>
      <c r="S170" s="69"/>
      <c r="T170" s="68"/>
      <c r="U170" s="69"/>
      <c r="V170" s="69">
        <f t="shared" si="18"/>
        <v>3033280.3294915948</v>
      </c>
      <c r="W170" s="69">
        <f t="shared" si="18"/>
        <v>141047.53532135914</v>
      </c>
      <c r="X170" s="71">
        <f t="shared" si="21"/>
        <v>3033280.3294915948</v>
      </c>
      <c r="Y170" s="71">
        <f t="shared" si="21"/>
        <v>141047.53532135914</v>
      </c>
      <c r="Z170" s="71"/>
      <c r="AA170" s="71"/>
      <c r="AB170" s="71">
        <f>Y170-Z170-AA170</f>
        <v>141047.53532135914</v>
      </c>
      <c r="AC170" s="72">
        <v>0</v>
      </c>
      <c r="AD170" s="72">
        <f>AB170/J170/K170/9*M170</f>
        <v>2696249.1817703065</v>
      </c>
      <c r="AE170" s="72"/>
      <c r="AF170" s="73"/>
      <c r="AG170" s="73">
        <f t="shared" si="19"/>
        <v>141047.53532135914</v>
      </c>
      <c r="AH170" s="74">
        <f>AB170/J170/K170/8*M170</f>
        <v>3033280.3294915948</v>
      </c>
      <c r="AI170" s="74"/>
    </row>
    <row r="171" spans="1:35" s="75" customFormat="1" ht="25.5">
      <c r="A171" s="62">
        <f t="shared" si="22"/>
        <v>160</v>
      </c>
      <c r="B171" s="63" t="s">
        <v>268</v>
      </c>
      <c r="C171" s="64" t="s">
        <v>271</v>
      </c>
      <c r="D171" s="63" t="s">
        <v>80</v>
      </c>
      <c r="E171" s="63" t="s">
        <v>41</v>
      </c>
      <c r="F171" s="63"/>
      <c r="G171" s="63"/>
      <c r="H171" s="65">
        <v>43770</v>
      </c>
      <c r="I171" s="66">
        <v>5000000</v>
      </c>
      <c r="J171" s="67">
        <v>7.7499999999999999E-2</v>
      </c>
      <c r="K171" s="68">
        <v>0.9</v>
      </c>
      <c r="L171" s="69">
        <v>1</v>
      </c>
      <c r="M171" s="68">
        <v>12</v>
      </c>
      <c r="N171" s="69">
        <f t="shared" si="23"/>
        <v>29062.5</v>
      </c>
      <c r="O171" s="69">
        <f t="shared" si="24"/>
        <v>3033280.3294915948</v>
      </c>
      <c r="P171" s="69">
        <f t="shared" si="25"/>
        <v>17630.941915169893</v>
      </c>
      <c r="Q171" s="69">
        <f t="shared" si="26"/>
        <v>11431.558084830107</v>
      </c>
      <c r="R171" s="70">
        <v>0.606656065898319</v>
      </c>
      <c r="S171" s="69"/>
      <c r="T171" s="68"/>
      <c r="U171" s="69"/>
      <c r="V171" s="69">
        <f t="shared" si="18"/>
        <v>3033280.3294915948</v>
      </c>
      <c r="W171" s="69">
        <f t="shared" si="18"/>
        <v>17630.941915169893</v>
      </c>
      <c r="X171" s="71">
        <f t="shared" si="21"/>
        <v>3033280.3294915948</v>
      </c>
      <c r="Y171" s="71">
        <f t="shared" si="21"/>
        <v>17630.941915169893</v>
      </c>
      <c r="Z171" s="71"/>
      <c r="AA171" s="71"/>
      <c r="AB171" s="71">
        <f>Y171-Z171-AA171</f>
        <v>17630.941915169893</v>
      </c>
      <c r="AC171" s="72">
        <v>0</v>
      </c>
      <c r="AD171" s="72">
        <f>AB171/J171/K171/9*M171</f>
        <v>337031.14772128832</v>
      </c>
      <c r="AE171" s="72"/>
      <c r="AF171" s="73"/>
      <c r="AG171" s="73">
        <f t="shared" si="19"/>
        <v>17630.941915169893</v>
      </c>
      <c r="AH171" s="74">
        <f>AB171/J171/K171/8*M171</f>
        <v>379160.04118644935</v>
      </c>
      <c r="AI171" s="74"/>
    </row>
    <row r="172" spans="1:35" s="75" customFormat="1" ht="38.25">
      <c r="A172" s="62">
        <f t="shared" si="22"/>
        <v>161</v>
      </c>
      <c r="B172" s="63" t="s">
        <v>272</v>
      </c>
      <c r="C172" s="64" t="s">
        <v>273</v>
      </c>
      <c r="D172" s="63" t="s">
        <v>40</v>
      </c>
      <c r="E172" s="63" t="s">
        <v>41</v>
      </c>
      <c r="F172" s="63"/>
      <c r="G172" s="63"/>
      <c r="H172" s="65">
        <v>43556</v>
      </c>
      <c r="I172" s="66">
        <v>1200000</v>
      </c>
      <c r="J172" s="67">
        <v>7.7499999999999999E-2</v>
      </c>
      <c r="K172" s="68">
        <v>0.9</v>
      </c>
      <c r="L172" s="69">
        <v>8</v>
      </c>
      <c r="M172" s="68">
        <v>12</v>
      </c>
      <c r="N172" s="69">
        <f t="shared" si="23"/>
        <v>55800</v>
      </c>
      <c r="O172" s="69">
        <f t="shared" si="24"/>
        <v>727987.27907798276</v>
      </c>
      <c r="P172" s="69">
        <f t="shared" si="25"/>
        <v>33851.408477126199</v>
      </c>
      <c r="Q172" s="69">
        <f t="shared" si="26"/>
        <v>21948.591522873801</v>
      </c>
      <c r="R172" s="70">
        <v>0.606656065898319</v>
      </c>
      <c r="S172" s="69"/>
      <c r="T172" s="68"/>
      <c r="U172" s="69"/>
      <c r="V172" s="69">
        <f t="shared" si="18"/>
        <v>727987.27907798276</v>
      </c>
      <c r="W172" s="69">
        <f t="shared" si="18"/>
        <v>33851.408477126199</v>
      </c>
      <c r="X172" s="71">
        <f t="shared" si="21"/>
        <v>727987.27907798276</v>
      </c>
      <c r="Y172" s="71">
        <f t="shared" si="21"/>
        <v>33851.408477126199</v>
      </c>
      <c r="Z172" s="71"/>
      <c r="AA172" s="71"/>
      <c r="AB172" s="71">
        <f>Y172-Z172-AA172</f>
        <v>33851.408477126199</v>
      </c>
      <c r="AC172" s="72">
        <v>582389.82326238626</v>
      </c>
      <c r="AD172" s="72">
        <f>AB172/J172/K172/9*M172</f>
        <v>647099.80362487363</v>
      </c>
      <c r="AE172" s="72"/>
      <c r="AF172" s="73"/>
      <c r="AG172" s="73">
        <f t="shared" si="19"/>
        <v>33851.408477126199</v>
      </c>
      <c r="AH172" s="74">
        <f>AB172/J172/K172/8*M172</f>
        <v>727987.27907798276</v>
      </c>
      <c r="AI172" s="74"/>
    </row>
    <row r="173" spans="1:35" s="155" customFormat="1" ht="38.25">
      <c r="A173" s="145">
        <f t="shared" si="22"/>
        <v>162</v>
      </c>
      <c r="B173" s="113" t="s">
        <v>274</v>
      </c>
      <c r="C173" s="146" t="s">
        <v>275</v>
      </c>
      <c r="D173" s="113" t="s">
        <v>40</v>
      </c>
      <c r="E173" s="113" t="s">
        <v>41</v>
      </c>
      <c r="F173" s="113"/>
      <c r="G173" s="113"/>
      <c r="H173" s="147">
        <v>43525</v>
      </c>
      <c r="I173" s="148">
        <v>2000000</v>
      </c>
      <c r="J173" s="149">
        <v>7.7499999999999999E-2</v>
      </c>
      <c r="K173" s="150">
        <v>0.9</v>
      </c>
      <c r="L173" s="120">
        <v>9</v>
      </c>
      <c r="M173" s="150">
        <v>12</v>
      </c>
      <c r="N173" s="120">
        <f t="shared" si="23"/>
        <v>104625</v>
      </c>
      <c r="O173" s="120">
        <f t="shared" si="24"/>
        <v>1213312.131796638</v>
      </c>
      <c r="P173" s="120">
        <f t="shared" si="25"/>
        <v>63471.390894611628</v>
      </c>
      <c r="Q173" s="120">
        <f t="shared" si="26"/>
        <v>41153.609105388372</v>
      </c>
      <c r="R173" s="151">
        <v>0.606656065898319</v>
      </c>
      <c r="S173" s="120"/>
      <c r="T173" s="150"/>
      <c r="U173" s="120"/>
      <c r="V173" s="120">
        <f t="shared" si="18"/>
        <v>1213312.131796638</v>
      </c>
      <c r="W173" s="120">
        <f t="shared" si="18"/>
        <v>63471.390894611628</v>
      </c>
      <c r="X173" s="152">
        <f t="shared" si="21"/>
        <v>1213312.131796638</v>
      </c>
      <c r="Y173" s="152">
        <f t="shared" si="21"/>
        <v>63471.390894611628</v>
      </c>
      <c r="Z173" s="152"/>
      <c r="AA173" s="152"/>
      <c r="AB173" s="152">
        <f>Y173-Z173-AA173-63471.39</f>
        <v>8.9461162860970944E-4</v>
      </c>
      <c r="AC173" s="153">
        <v>1091980.9186169743</v>
      </c>
      <c r="AD173" s="153">
        <f>AB173/J173/K173/9*M173</f>
        <v>1.7101297560042233E-2</v>
      </c>
      <c r="AE173" s="153"/>
      <c r="AF173" s="124">
        <v>-63471.39</v>
      </c>
      <c r="AG173" s="124">
        <f t="shared" si="19"/>
        <v>-63471.389105388371</v>
      </c>
      <c r="AH173" s="154">
        <f>AB173/J173/K173/8*M173</f>
        <v>1.9238959755047514E-2</v>
      </c>
      <c r="AI173" s="154"/>
    </row>
    <row r="174" spans="1:35" s="75" customFormat="1" ht="25.5">
      <c r="A174" s="62">
        <f t="shared" si="22"/>
        <v>163</v>
      </c>
      <c r="B174" s="63" t="s">
        <v>276</v>
      </c>
      <c r="C174" s="64" t="s">
        <v>277</v>
      </c>
      <c r="D174" s="63" t="s">
        <v>40</v>
      </c>
      <c r="E174" s="63" t="s">
        <v>41</v>
      </c>
      <c r="F174" s="63"/>
      <c r="G174" s="63"/>
      <c r="H174" s="65">
        <v>43556</v>
      </c>
      <c r="I174" s="66">
        <v>4000000</v>
      </c>
      <c r="J174" s="67">
        <v>7.7499999999999999E-2</v>
      </c>
      <c r="K174" s="68">
        <v>0.9</v>
      </c>
      <c r="L174" s="69">
        <v>8</v>
      </c>
      <c r="M174" s="68">
        <v>12</v>
      </c>
      <c r="N174" s="69">
        <f t="shared" si="23"/>
        <v>186000</v>
      </c>
      <c r="O174" s="69">
        <f t="shared" si="24"/>
        <v>2426624.263593276</v>
      </c>
      <c r="P174" s="69">
        <f t="shared" si="25"/>
        <v>112838.02825708734</v>
      </c>
      <c r="Q174" s="69">
        <f t="shared" si="26"/>
        <v>73161.971742912661</v>
      </c>
      <c r="R174" s="70">
        <v>0.606656065898319</v>
      </c>
      <c r="S174" s="69"/>
      <c r="T174" s="68"/>
      <c r="U174" s="69"/>
      <c r="V174" s="69">
        <f t="shared" si="18"/>
        <v>2426624.263593276</v>
      </c>
      <c r="W174" s="69">
        <f t="shared" si="18"/>
        <v>112838.02825708734</v>
      </c>
      <c r="X174" s="71">
        <f t="shared" si="21"/>
        <v>2426624.263593276</v>
      </c>
      <c r="Y174" s="71">
        <f t="shared" si="21"/>
        <v>112838.02825708734</v>
      </c>
      <c r="Z174" s="71"/>
      <c r="AA174" s="71"/>
      <c r="AB174" s="71">
        <f>Y174-Z174-AA174</f>
        <v>112838.02825708734</v>
      </c>
      <c r="AC174" s="72">
        <v>1941299.410874621</v>
      </c>
      <c r="AD174" s="72">
        <f>AB174/J174/K174/9*M174</f>
        <v>2156999.3454162455</v>
      </c>
      <c r="AE174" s="72"/>
      <c r="AF174" s="73"/>
      <c r="AG174" s="73">
        <f t="shared" si="19"/>
        <v>112838.02825708734</v>
      </c>
      <c r="AH174" s="74">
        <f>AB174/J174/K174/8*M174</f>
        <v>2426624.263593276</v>
      </c>
      <c r="AI174" s="74"/>
    </row>
    <row r="175" spans="1:35" s="75" customFormat="1" ht="25.5">
      <c r="A175" s="62">
        <f t="shared" si="22"/>
        <v>164</v>
      </c>
      <c r="B175" s="63" t="s">
        <v>278</v>
      </c>
      <c r="C175" s="64" t="s">
        <v>279</v>
      </c>
      <c r="D175" s="63" t="s">
        <v>40</v>
      </c>
      <c r="E175" s="63" t="s">
        <v>41</v>
      </c>
      <c r="F175" s="63"/>
      <c r="G175" s="63"/>
      <c r="H175" s="65">
        <v>43556</v>
      </c>
      <c r="I175" s="66">
        <v>2500000</v>
      </c>
      <c r="J175" s="67">
        <v>7.7499999999999999E-2</v>
      </c>
      <c r="K175" s="68">
        <v>0.9</v>
      </c>
      <c r="L175" s="69">
        <v>8</v>
      </c>
      <c r="M175" s="68">
        <v>12</v>
      </c>
      <c r="N175" s="69">
        <f t="shared" si="23"/>
        <v>116250</v>
      </c>
      <c r="O175" s="69">
        <f t="shared" si="24"/>
        <v>1516640.1647457974</v>
      </c>
      <c r="P175" s="69">
        <f t="shared" si="25"/>
        <v>70523.767660679572</v>
      </c>
      <c r="Q175" s="69">
        <f t="shared" si="26"/>
        <v>45726.232339320428</v>
      </c>
      <c r="R175" s="70">
        <v>0.606656065898319</v>
      </c>
      <c r="S175" s="69"/>
      <c r="T175" s="68"/>
      <c r="U175" s="69"/>
      <c r="V175" s="69">
        <f t="shared" si="18"/>
        <v>1516640.1647457974</v>
      </c>
      <c r="W175" s="69">
        <f t="shared" si="18"/>
        <v>70523.767660679572</v>
      </c>
      <c r="X175" s="71">
        <f t="shared" si="21"/>
        <v>1516640.1647457974</v>
      </c>
      <c r="Y175" s="71">
        <f t="shared" si="21"/>
        <v>70523.767660679572</v>
      </c>
      <c r="Z175" s="71"/>
      <c r="AA175" s="71"/>
      <c r="AB175" s="71">
        <f>Y175-Z175-AA175</f>
        <v>70523.767660679572</v>
      </c>
      <c r="AC175" s="72">
        <v>1971632.2141695363</v>
      </c>
      <c r="AD175" s="72">
        <f>AB175/J175/K175/9*M175</f>
        <v>1348124.5908851533</v>
      </c>
      <c r="AE175" s="72"/>
      <c r="AF175" s="73"/>
      <c r="AG175" s="73">
        <f t="shared" si="19"/>
        <v>70523.767660679572</v>
      </c>
      <c r="AH175" s="74">
        <f>AB175/J175/K175/8*M175</f>
        <v>1516640.1647457974</v>
      </c>
      <c r="AI175" s="74"/>
    </row>
    <row r="176" spans="1:35" s="75" customFormat="1" ht="25.5">
      <c r="A176" s="62">
        <f t="shared" si="22"/>
        <v>165</v>
      </c>
      <c r="B176" s="63" t="s">
        <v>278</v>
      </c>
      <c r="C176" s="64" t="s">
        <v>280</v>
      </c>
      <c r="D176" s="63" t="s">
        <v>40</v>
      </c>
      <c r="E176" s="63" t="s">
        <v>41</v>
      </c>
      <c r="F176" s="63"/>
      <c r="G176" s="63"/>
      <c r="H176" s="65">
        <v>43647</v>
      </c>
      <c r="I176" s="66">
        <v>2500000</v>
      </c>
      <c r="J176" s="67">
        <v>7.7499999999999999E-2</v>
      </c>
      <c r="K176" s="68">
        <v>0.9</v>
      </c>
      <c r="L176" s="69">
        <v>5</v>
      </c>
      <c r="M176" s="68">
        <v>12</v>
      </c>
      <c r="N176" s="69">
        <f t="shared" si="23"/>
        <v>72656.25</v>
      </c>
      <c r="O176" s="69">
        <f t="shared" si="24"/>
        <v>1516640.1647457974</v>
      </c>
      <c r="P176" s="69">
        <f t="shared" si="25"/>
        <v>44077.354787924734</v>
      </c>
      <c r="Q176" s="69">
        <f t="shared" si="26"/>
        <v>28578.895212075266</v>
      </c>
      <c r="R176" s="70">
        <v>0.606656065898319</v>
      </c>
      <c r="S176" s="69"/>
      <c r="T176" s="68"/>
      <c r="U176" s="69"/>
      <c r="V176" s="69">
        <f t="shared" si="18"/>
        <v>1516640.1647457974</v>
      </c>
      <c r="W176" s="69">
        <f t="shared" si="18"/>
        <v>44077.354787924734</v>
      </c>
      <c r="X176" s="71">
        <f t="shared" si="21"/>
        <v>1516640.1647457974</v>
      </c>
      <c r="Y176" s="71">
        <f t="shared" si="21"/>
        <v>44077.354787924734</v>
      </c>
      <c r="Z176" s="71"/>
      <c r="AA176" s="71"/>
      <c r="AB176" s="71">
        <f>Y176-Z176-AA176</f>
        <v>44077.354787924734</v>
      </c>
      <c r="AC176" s="72">
        <v>0</v>
      </c>
      <c r="AD176" s="72">
        <f>AB176/J176/K176/9*M176</f>
        <v>842577.86930322065</v>
      </c>
      <c r="AE176" s="72"/>
      <c r="AF176" s="73"/>
      <c r="AG176" s="73">
        <f t="shared" si="19"/>
        <v>44077.354787924734</v>
      </c>
      <c r="AH176" s="74">
        <f>AB176/J176/K176/8*M176</f>
        <v>947900.10296612326</v>
      </c>
      <c r="AI176" s="74"/>
    </row>
    <row r="177" spans="1:35" s="75" customFormat="1" ht="25.5">
      <c r="A177" s="62">
        <f t="shared" si="22"/>
        <v>166</v>
      </c>
      <c r="B177" s="63" t="s">
        <v>281</v>
      </c>
      <c r="C177" s="64" t="s">
        <v>282</v>
      </c>
      <c r="D177" s="63" t="s">
        <v>40</v>
      </c>
      <c r="E177" s="63" t="s">
        <v>41</v>
      </c>
      <c r="F177" s="63"/>
      <c r="G177" s="63"/>
      <c r="H177" s="65">
        <v>43525</v>
      </c>
      <c r="I177" s="66">
        <v>2000000</v>
      </c>
      <c r="J177" s="67">
        <v>7.7499999999999999E-2</v>
      </c>
      <c r="K177" s="68">
        <v>0.9</v>
      </c>
      <c r="L177" s="69">
        <v>9</v>
      </c>
      <c r="M177" s="68">
        <v>12</v>
      </c>
      <c r="N177" s="69">
        <f t="shared" si="23"/>
        <v>104625</v>
      </c>
      <c r="O177" s="69">
        <f t="shared" si="24"/>
        <v>1213312.131796638</v>
      </c>
      <c r="P177" s="69">
        <f t="shared" si="25"/>
        <v>63471.390894611628</v>
      </c>
      <c r="Q177" s="69">
        <f t="shared" si="26"/>
        <v>41153.609105388372</v>
      </c>
      <c r="R177" s="70">
        <v>0.606656065898319</v>
      </c>
      <c r="S177" s="69"/>
      <c r="T177" s="68"/>
      <c r="U177" s="69"/>
      <c r="V177" s="69">
        <f t="shared" si="18"/>
        <v>1213312.131796638</v>
      </c>
      <c r="W177" s="69">
        <f t="shared" si="18"/>
        <v>63471.390894611628</v>
      </c>
      <c r="X177" s="71">
        <f t="shared" si="21"/>
        <v>1213312.131796638</v>
      </c>
      <c r="Y177" s="71">
        <f t="shared" si="21"/>
        <v>63471.390894611628</v>
      </c>
      <c r="Z177" s="71"/>
      <c r="AA177" s="71"/>
      <c r="AB177" s="71">
        <f>Y177-Z177-AA177</f>
        <v>63471.390894611628</v>
      </c>
      <c r="AC177" s="72">
        <v>1091980.9186169743</v>
      </c>
      <c r="AD177" s="72">
        <f>AB177/J177/K177/9*M177</f>
        <v>1213312.131796638</v>
      </c>
      <c r="AE177" s="72">
        <v>63467.85</v>
      </c>
      <c r="AF177" s="73"/>
      <c r="AG177" s="73">
        <f t="shared" si="19"/>
        <v>63471.390894611628</v>
      </c>
      <c r="AH177" s="74">
        <f>AB177/J177/K177/8*M177</f>
        <v>1364976.1482712177</v>
      </c>
      <c r="AI177" s="93">
        <v>1364900</v>
      </c>
    </row>
    <row r="178" spans="1:35" s="75" customFormat="1" ht="25.5">
      <c r="A178" s="62">
        <f t="shared" si="22"/>
        <v>167</v>
      </c>
      <c r="B178" s="63" t="s">
        <v>283</v>
      </c>
      <c r="C178" s="64" t="s">
        <v>284</v>
      </c>
      <c r="D178" s="63" t="s">
        <v>40</v>
      </c>
      <c r="E178" s="63" t="s">
        <v>41</v>
      </c>
      <c r="F178" s="63"/>
      <c r="G178" s="63"/>
      <c r="H178" s="65">
        <v>43525</v>
      </c>
      <c r="I178" s="66">
        <v>6000000</v>
      </c>
      <c r="J178" s="67">
        <v>7.7499999999999999E-2</v>
      </c>
      <c r="K178" s="68">
        <v>0.9</v>
      </c>
      <c r="L178" s="69">
        <v>9</v>
      </c>
      <c r="M178" s="68">
        <v>12</v>
      </c>
      <c r="N178" s="69">
        <f t="shared" si="23"/>
        <v>313875</v>
      </c>
      <c r="O178" s="69">
        <f t="shared" si="24"/>
        <v>3639936.395389914</v>
      </c>
      <c r="P178" s="69">
        <f t="shared" si="25"/>
        <v>190414.17268383488</v>
      </c>
      <c r="Q178" s="69">
        <f t="shared" si="26"/>
        <v>123460.82731616512</v>
      </c>
      <c r="R178" s="70">
        <v>0.606656065898319</v>
      </c>
      <c r="S178" s="69"/>
      <c r="T178" s="68"/>
      <c r="U178" s="69"/>
      <c r="V178" s="69">
        <f t="shared" si="18"/>
        <v>3639936.395389914</v>
      </c>
      <c r="W178" s="69">
        <f t="shared" si="18"/>
        <v>190414.17268383488</v>
      </c>
      <c r="X178" s="71">
        <f t="shared" si="21"/>
        <v>3639936.395389914</v>
      </c>
      <c r="Y178" s="71">
        <f t="shared" si="21"/>
        <v>190414.17268383488</v>
      </c>
      <c r="Z178" s="71"/>
      <c r="AA178" s="71">
        <v>189356.92</v>
      </c>
      <c r="AB178" s="71">
        <f>Y178-Z178-AA178</f>
        <v>1057.2526838348713</v>
      </c>
      <c r="AC178" s="72">
        <v>-2324057.2441490772</v>
      </c>
      <c r="AD178" s="72">
        <f>AB178/J178/K178/9*M178</f>
        <v>20210.326094812357</v>
      </c>
      <c r="AE178" s="72"/>
      <c r="AF178" s="73"/>
      <c r="AG178" s="73">
        <f t="shared" si="19"/>
        <v>1057.2526838348713</v>
      </c>
      <c r="AH178" s="74">
        <f>AB178/J178/K178/8*M178</f>
        <v>22736.616856663899</v>
      </c>
      <c r="AI178" s="74"/>
    </row>
    <row r="179" spans="1:35" s="127" customFormat="1" ht="25.5">
      <c r="A179" s="110">
        <f t="shared" si="22"/>
        <v>168</v>
      </c>
      <c r="B179" s="111" t="s">
        <v>285</v>
      </c>
      <c r="C179" s="112" t="s">
        <v>286</v>
      </c>
      <c r="D179" s="111" t="s">
        <v>80</v>
      </c>
      <c r="E179" s="113" t="s">
        <v>41</v>
      </c>
      <c r="F179" s="111"/>
      <c r="G179" s="111"/>
      <c r="H179" s="114">
        <v>43497</v>
      </c>
      <c r="I179" s="115">
        <v>7500000</v>
      </c>
      <c r="J179" s="116">
        <v>7.7499999999999999E-2</v>
      </c>
      <c r="K179" s="117">
        <v>0.9</v>
      </c>
      <c r="L179" s="118">
        <v>10</v>
      </c>
      <c r="M179" s="117">
        <v>12</v>
      </c>
      <c r="N179" s="118">
        <f t="shared" si="23"/>
        <v>435937.5</v>
      </c>
      <c r="O179" s="118">
        <f t="shared" si="24"/>
        <v>4549920.4942373922</v>
      </c>
      <c r="P179" s="118">
        <f t="shared" si="25"/>
        <v>264464.12872754846</v>
      </c>
      <c r="Q179" s="118">
        <f t="shared" si="26"/>
        <v>171473.37127245154</v>
      </c>
      <c r="R179" s="119">
        <v>0.606656065898319</v>
      </c>
      <c r="S179" s="143">
        <v>10000000</v>
      </c>
      <c r="T179" s="142">
        <f>581250-T180</f>
        <v>369678.7</v>
      </c>
      <c r="U179" s="120">
        <f t="shared" si="20"/>
        <v>264464.12872754846</v>
      </c>
      <c r="V179" s="118">
        <f t="shared" ref="V179:W242" si="27">O179-S179</f>
        <v>-5450079.5057626078</v>
      </c>
      <c r="W179" s="118">
        <f t="shared" si="27"/>
        <v>-105214.57127245155</v>
      </c>
      <c r="X179" s="121">
        <f t="shared" si="21"/>
        <v>-5450079.5057626078</v>
      </c>
      <c r="Y179" s="121">
        <f t="shared" si="21"/>
        <v>-105214.57127245155</v>
      </c>
      <c r="Z179" s="121"/>
      <c r="AA179" s="121"/>
      <c r="AB179" s="121">
        <f>Y179-Z179-AA179</f>
        <v>-105214.57127245155</v>
      </c>
      <c r="AC179" s="122">
        <v>-1810143.1103726935</v>
      </c>
      <c r="AD179" s="122">
        <f>AB179/J179/K179/9*M179</f>
        <v>-2011270.1796406507</v>
      </c>
      <c r="AE179" s="122"/>
      <c r="AF179" s="123"/>
      <c r="AG179" s="124">
        <f t="shared" si="19"/>
        <v>-105214.57127245155</v>
      </c>
      <c r="AH179" s="125">
        <f>AB179/J179/K179/8*M179</f>
        <v>-2262678.9520957321</v>
      </c>
      <c r="AI179" s="126"/>
    </row>
    <row r="180" spans="1:35" s="127" customFormat="1" ht="25.5">
      <c r="A180" s="110">
        <f t="shared" si="22"/>
        <v>169</v>
      </c>
      <c r="B180" s="111" t="s">
        <v>285</v>
      </c>
      <c r="C180" s="112" t="s">
        <v>286</v>
      </c>
      <c r="D180" s="111" t="s">
        <v>40</v>
      </c>
      <c r="E180" s="113" t="s">
        <v>41</v>
      </c>
      <c r="F180" s="111"/>
      <c r="G180" s="111"/>
      <c r="H180" s="114">
        <v>43556</v>
      </c>
      <c r="I180" s="115">
        <v>7500000</v>
      </c>
      <c r="J180" s="116">
        <v>7.7499999999999999E-2</v>
      </c>
      <c r="K180" s="117">
        <v>0.9</v>
      </c>
      <c r="L180" s="118">
        <v>8</v>
      </c>
      <c r="M180" s="117">
        <v>12</v>
      </c>
      <c r="N180" s="118">
        <f t="shared" si="23"/>
        <v>348750</v>
      </c>
      <c r="O180" s="118">
        <f t="shared" si="24"/>
        <v>4549920.4942373922</v>
      </c>
      <c r="P180" s="118">
        <f t="shared" si="25"/>
        <v>211571.30298203873</v>
      </c>
      <c r="Q180" s="118">
        <f t="shared" si="26"/>
        <v>137178.69701796127</v>
      </c>
      <c r="R180" s="119">
        <v>0.606656065898319</v>
      </c>
      <c r="S180" s="118"/>
      <c r="T180" s="117">
        <v>211571.3</v>
      </c>
      <c r="U180" s="120">
        <f t="shared" si="20"/>
        <v>211571.30298203873</v>
      </c>
      <c r="V180" s="118">
        <f t="shared" si="27"/>
        <v>4549920.4942373922</v>
      </c>
      <c r="W180" s="118">
        <f t="shared" si="27"/>
        <v>2.9820387426298112E-3</v>
      </c>
      <c r="X180" s="121">
        <f t="shared" si="21"/>
        <v>4549920.4942373922</v>
      </c>
      <c r="Y180" s="121">
        <f t="shared" si="21"/>
        <v>2.9820387426298112E-3</v>
      </c>
      <c r="Z180" s="121"/>
      <c r="AA180" s="121"/>
      <c r="AB180" s="121">
        <f>Y180-Z180-AA180</f>
        <v>2.9820387426298112E-3</v>
      </c>
      <c r="AC180" s="122">
        <v>0</v>
      </c>
      <c r="AD180" s="122">
        <f>AB180/J180/K180/9*M180</f>
        <v>5.700432482924371E-2</v>
      </c>
      <c r="AE180" s="122"/>
      <c r="AF180" s="123"/>
      <c r="AG180" s="124">
        <f t="shared" si="19"/>
        <v>2.9820387426298112E-3</v>
      </c>
      <c r="AH180" s="154">
        <f>AB180/J180/K180/8*M180</f>
        <v>6.4129865432899169E-2</v>
      </c>
      <c r="AI180" s="126"/>
    </row>
    <row r="181" spans="1:35" s="75" customFormat="1" ht="25.5">
      <c r="A181" s="62">
        <f t="shared" si="22"/>
        <v>170</v>
      </c>
      <c r="B181" s="63" t="s">
        <v>287</v>
      </c>
      <c r="C181" s="64" t="s">
        <v>288</v>
      </c>
      <c r="D181" s="63" t="s">
        <v>40</v>
      </c>
      <c r="E181" s="63" t="s">
        <v>41</v>
      </c>
      <c r="F181" s="63"/>
      <c r="G181" s="63"/>
      <c r="H181" s="65">
        <v>43497</v>
      </c>
      <c r="I181" s="66">
        <v>5000000</v>
      </c>
      <c r="J181" s="67">
        <v>7.7499999999999999E-2</v>
      </c>
      <c r="K181" s="68">
        <v>0.9</v>
      </c>
      <c r="L181" s="69">
        <v>10</v>
      </c>
      <c r="M181" s="68">
        <v>12</v>
      </c>
      <c r="N181" s="69">
        <f t="shared" si="23"/>
        <v>290625</v>
      </c>
      <c r="O181" s="69">
        <f t="shared" si="24"/>
        <v>3033280.3294915948</v>
      </c>
      <c r="P181" s="69">
        <f t="shared" si="25"/>
        <v>176309.41915169894</v>
      </c>
      <c r="Q181" s="69">
        <f t="shared" si="26"/>
        <v>114315.58084830106</v>
      </c>
      <c r="R181" s="70">
        <v>0.606656065898319</v>
      </c>
      <c r="S181" s="69"/>
      <c r="T181" s="68"/>
      <c r="U181" s="69"/>
      <c r="V181" s="69">
        <f t="shared" si="27"/>
        <v>3033280.3294915948</v>
      </c>
      <c r="W181" s="69">
        <f t="shared" si="27"/>
        <v>176309.41915169894</v>
      </c>
      <c r="X181" s="71">
        <f t="shared" si="21"/>
        <v>3033280.3294915948</v>
      </c>
      <c r="Y181" s="71">
        <f t="shared" si="21"/>
        <v>176309.41915169894</v>
      </c>
      <c r="Z181" s="71"/>
      <c r="AA181" s="71"/>
      <c r="AB181" s="71">
        <f>Y181-Z181-AA181</f>
        <v>176309.41915169894</v>
      </c>
      <c r="AC181" s="72">
        <v>3033280.3294915948</v>
      </c>
      <c r="AD181" s="72">
        <f>AB181/J181/K181/9*M181</f>
        <v>3370311.4772128826</v>
      </c>
      <c r="AE181" s="72"/>
      <c r="AF181" s="73"/>
      <c r="AG181" s="73">
        <f t="shared" si="19"/>
        <v>176309.41915169894</v>
      </c>
      <c r="AH181" s="74">
        <f>AB181/J181/K181/8*M181</f>
        <v>3791600.411864493</v>
      </c>
      <c r="AI181" s="74"/>
    </row>
    <row r="182" spans="1:35" s="127" customFormat="1" ht="25.5">
      <c r="A182" s="110">
        <f t="shared" si="22"/>
        <v>171</v>
      </c>
      <c r="B182" s="111" t="s">
        <v>289</v>
      </c>
      <c r="C182" s="112" t="s">
        <v>290</v>
      </c>
      <c r="D182" s="111" t="s">
        <v>40</v>
      </c>
      <c r="E182" s="113" t="s">
        <v>97</v>
      </c>
      <c r="F182" s="111"/>
      <c r="G182" s="111"/>
      <c r="H182" s="114">
        <v>43497</v>
      </c>
      <c r="I182" s="115">
        <v>25000000</v>
      </c>
      <c r="J182" s="116">
        <v>7.7499999999999999E-2</v>
      </c>
      <c r="K182" s="117">
        <v>0.9</v>
      </c>
      <c r="L182" s="118">
        <v>10</v>
      </c>
      <c r="M182" s="117">
        <v>12</v>
      </c>
      <c r="N182" s="118">
        <f t="shared" si="23"/>
        <v>1453125</v>
      </c>
      <c r="O182" s="118">
        <f t="shared" si="24"/>
        <v>15166401.647457974</v>
      </c>
      <c r="P182" s="118">
        <f t="shared" si="25"/>
        <v>881547.09575849457</v>
      </c>
      <c r="Q182" s="118">
        <f t="shared" si="26"/>
        <v>571577.90424150543</v>
      </c>
      <c r="R182" s="119">
        <v>0.606656065898319</v>
      </c>
      <c r="S182" s="118"/>
      <c r="T182" s="117"/>
      <c r="U182" s="120"/>
      <c r="V182" s="118">
        <f t="shared" si="27"/>
        <v>15166401.647457974</v>
      </c>
      <c r="W182" s="118">
        <f t="shared" si="27"/>
        <v>881547.09575849457</v>
      </c>
      <c r="X182" s="121">
        <f t="shared" si="21"/>
        <v>15166401.647457974</v>
      </c>
      <c r="Y182" s="121">
        <f t="shared" si="21"/>
        <v>881547.09575849457</v>
      </c>
      <c r="Z182" s="121"/>
      <c r="AA182" s="121">
        <f>1346756.25-AA184-AA183</f>
        <v>881547.1</v>
      </c>
      <c r="AB182" s="121">
        <f>Y182-Z182-AA182</f>
        <v>-4.2415054049342871E-3</v>
      </c>
      <c r="AC182" s="122">
        <v>-6825738.2826842144</v>
      </c>
      <c r="AD182" s="122">
        <f>AB182/J182/K182/9*M182</f>
        <v>-8.1080151109854948E-2</v>
      </c>
      <c r="AE182" s="122"/>
      <c r="AF182" s="123"/>
      <c r="AG182" s="124">
        <f t="shared" si="19"/>
        <v>-4.2415054049342871E-3</v>
      </c>
      <c r="AH182" s="125">
        <f>AB182/J182/K182/8*M182</f>
        <v>-9.1215169998586809E-2</v>
      </c>
      <c r="AI182" s="126"/>
    </row>
    <row r="183" spans="1:35" s="127" customFormat="1">
      <c r="A183" s="110">
        <f t="shared" si="22"/>
        <v>172</v>
      </c>
      <c r="B183" s="111" t="s">
        <v>289</v>
      </c>
      <c r="C183" s="112" t="s">
        <v>290</v>
      </c>
      <c r="D183" s="111" t="s">
        <v>73</v>
      </c>
      <c r="E183" s="113" t="s">
        <v>97</v>
      </c>
      <c r="F183" s="111"/>
      <c r="G183" s="111"/>
      <c r="H183" s="114">
        <v>43617</v>
      </c>
      <c r="I183" s="115">
        <v>12000000</v>
      </c>
      <c r="J183" s="116">
        <v>7.7499999999999999E-2</v>
      </c>
      <c r="K183" s="117">
        <v>0.9</v>
      </c>
      <c r="L183" s="118">
        <v>6</v>
      </c>
      <c r="M183" s="117">
        <v>12</v>
      </c>
      <c r="N183" s="118">
        <f t="shared" si="23"/>
        <v>418500</v>
      </c>
      <c r="O183" s="118">
        <f t="shared" si="24"/>
        <v>7279872.7907798281</v>
      </c>
      <c r="P183" s="118">
        <f t="shared" si="25"/>
        <v>253885.56357844651</v>
      </c>
      <c r="Q183" s="118">
        <f t="shared" si="26"/>
        <v>164614.43642155349</v>
      </c>
      <c r="R183" s="119">
        <v>0.606656065898319</v>
      </c>
      <c r="S183" s="118"/>
      <c r="T183" s="117"/>
      <c r="U183" s="120"/>
      <c r="V183" s="118">
        <f t="shared" si="27"/>
        <v>7279872.7907798281</v>
      </c>
      <c r="W183" s="118">
        <f t="shared" si="27"/>
        <v>253885.56357844651</v>
      </c>
      <c r="X183" s="121">
        <f t="shared" si="21"/>
        <v>7279872.7907798281</v>
      </c>
      <c r="Y183" s="121">
        <f t="shared" si="21"/>
        <v>253885.56357844651</v>
      </c>
      <c r="Z183" s="121"/>
      <c r="AA183" s="121">
        <v>253637.85</v>
      </c>
      <c r="AB183" s="121">
        <f>Y183-Z183-AA183</f>
        <v>247.71357844650629</v>
      </c>
      <c r="AC183" s="122">
        <v>0</v>
      </c>
      <c r="AD183" s="122">
        <f>AB183/J183/K183/9*M183</f>
        <v>4735.265537806572</v>
      </c>
      <c r="AE183" s="122"/>
      <c r="AF183" s="123"/>
      <c r="AG183" s="124">
        <f t="shared" si="19"/>
        <v>247.71357844650629</v>
      </c>
      <c r="AH183" s="154">
        <f>AB183/J183/K183/8*M183</f>
        <v>5327.173730032393</v>
      </c>
      <c r="AI183" s="126"/>
    </row>
    <row r="184" spans="1:35" s="127" customFormat="1" ht="25.5">
      <c r="A184" s="110">
        <f t="shared" si="22"/>
        <v>173</v>
      </c>
      <c r="B184" s="111" t="s">
        <v>289</v>
      </c>
      <c r="C184" s="112" t="s">
        <v>290</v>
      </c>
      <c r="D184" s="111" t="s">
        <v>40</v>
      </c>
      <c r="E184" s="113" t="s">
        <v>97</v>
      </c>
      <c r="F184" s="111"/>
      <c r="G184" s="111"/>
      <c r="H184" s="114">
        <v>43617</v>
      </c>
      <c r="I184" s="115">
        <v>10000000</v>
      </c>
      <c r="J184" s="116">
        <v>7.7499999999999999E-2</v>
      </c>
      <c r="K184" s="117">
        <v>0.9</v>
      </c>
      <c r="L184" s="118">
        <v>6</v>
      </c>
      <c r="M184" s="117">
        <v>12</v>
      </c>
      <c r="N184" s="118">
        <f t="shared" si="23"/>
        <v>348750</v>
      </c>
      <c r="O184" s="118">
        <f t="shared" si="24"/>
        <v>6066560.6589831896</v>
      </c>
      <c r="P184" s="118">
        <f t="shared" si="25"/>
        <v>211571.30298203873</v>
      </c>
      <c r="Q184" s="118">
        <f t="shared" si="26"/>
        <v>137178.69701796127</v>
      </c>
      <c r="R184" s="119">
        <v>0.606656065898319</v>
      </c>
      <c r="S184" s="118"/>
      <c r="T184" s="117"/>
      <c r="U184" s="120"/>
      <c r="V184" s="118">
        <f t="shared" si="27"/>
        <v>6066560.6589831896</v>
      </c>
      <c r="W184" s="118">
        <f t="shared" si="27"/>
        <v>211571.30298203873</v>
      </c>
      <c r="X184" s="121">
        <f t="shared" si="21"/>
        <v>6066560.6589831896</v>
      </c>
      <c r="Y184" s="121">
        <f t="shared" si="21"/>
        <v>211571.30298203873</v>
      </c>
      <c r="Z184" s="121"/>
      <c r="AA184" s="121">
        <v>211571.3</v>
      </c>
      <c r="AB184" s="121">
        <f>Y184-Z184-AA184</f>
        <v>2.9820387426298112E-3</v>
      </c>
      <c r="AC184" s="122">
        <v>0</v>
      </c>
      <c r="AD184" s="122">
        <f>AB184/J184/K184/9*M184</f>
        <v>5.700432482924371E-2</v>
      </c>
      <c r="AE184" s="122"/>
      <c r="AF184" s="123"/>
      <c r="AG184" s="124">
        <f t="shared" si="19"/>
        <v>2.9820387426298112E-3</v>
      </c>
      <c r="AH184" s="154">
        <f>AB184/J184/K184/8*M184</f>
        <v>6.4129865432899169E-2</v>
      </c>
      <c r="AI184" s="126"/>
    </row>
    <row r="185" spans="1:35" s="127" customFormat="1" ht="25.5">
      <c r="A185" s="110">
        <f t="shared" si="22"/>
        <v>174</v>
      </c>
      <c r="B185" s="111" t="s">
        <v>291</v>
      </c>
      <c r="C185" s="112" t="s">
        <v>292</v>
      </c>
      <c r="D185" s="111" t="s">
        <v>40</v>
      </c>
      <c r="E185" s="113" t="s">
        <v>41</v>
      </c>
      <c r="F185" s="111"/>
      <c r="G185" s="111"/>
      <c r="H185" s="114">
        <v>43525</v>
      </c>
      <c r="I185" s="115">
        <v>10000000</v>
      </c>
      <c r="J185" s="116">
        <v>7.7499999999999999E-2</v>
      </c>
      <c r="K185" s="117">
        <v>0.9</v>
      </c>
      <c r="L185" s="118">
        <v>9</v>
      </c>
      <c r="M185" s="117">
        <v>12</v>
      </c>
      <c r="N185" s="118">
        <f t="shared" si="23"/>
        <v>523125</v>
      </c>
      <c r="O185" s="118">
        <f t="shared" si="24"/>
        <v>6066560.6589831896</v>
      </c>
      <c r="P185" s="118">
        <f t="shared" si="25"/>
        <v>317356.95447305811</v>
      </c>
      <c r="Q185" s="118">
        <f t="shared" si="26"/>
        <v>205768.04552694189</v>
      </c>
      <c r="R185" s="119">
        <v>0.606656065898319</v>
      </c>
      <c r="S185" s="143">
        <v>9900000</v>
      </c>
      <c r="T185" s="142">
        <v>575437.5</v>
      </c>
      <c r="U185" s="120">
        <f t="shared" si="20"/>
        <v>317356.95447305811</v>
      </c>
      <c r="V185" s="118">
        <f t="shared" si="27"/>
        <v>-3833439.3410168104</v>
      </c>
      <c r="W185" s="118">
        <f t="shared" si="27"/>
        <v>-258080.54552694189</v>
      </c>
      <c r="X185" s="121">
        <f t="shared" si="21"/>
        <v>-3833439.3410168104</v>
      </c>
      <c r="Y185" s="121">
        <f t="shared" si="21"/>
        <v>-258080.54552694189</v>
      </c>
      <c r="Z185" s="121"/>
      <c r="AA185" s="121"/>
      <c r="AB185" s="121">
        <f>Y185-Z185-AA185</f>
        <v>-258080.54552694189</v>
      </c>
      <c r="AC185" s="122">
        <v>-6810143.1103726942</v>
      </c>
      <c r="AD185" s="122">
        <f>AB185/J185/K185/9*M185</f>
        <v>-4933439.3410168104</v>
      </c>
      <c r="AE185" s="122"/>
      <c r="AF185" s="123"/>
      <c r="AG185" s="124">
        <f t="shared" si="19"/>
        <v>-258080.54552694189</v>
      </c>
      <c r="AH185" s="125">
        <f>AB185/J185/K185/8*M185</f>
        <v>-5550119.2586439122</v>
      </c>
      <c r="AI185" s="126"/>
    </row>
    <row r="186" spans="1:35" s="127" customFormat="1" ht="25.5">
      <c r="A186" s="110">
        <f t="shared" si="22"/>
        <v>175</v>
      </c>
      <c r="B186" s="111" t="s">
        <v>291</v>
      </c>
      <c r="C186" s="112" t="s">
        <v>292</v>
      </c>
      <c r="D186" s="111" t="s">
        <v>73</v>
      </c>
      <c r="E186" s="113" t="s">
        <v>41</v>
      </c>
      <c r="F186" s="111"/>
      <c r="G186" s="111"/>
      <c r="H186" s="114">
        <v>43525</v>
      </c>
      <c r="I186" s="115">
        <v>5000000</v>
      </c>
      <c r="J186" s="116">
        <v>7.7499999999999999E-2</v>
      </c>
      <c r="K186" s="117">
        <v>0.9</v>
      </c>
      <c r="L186" s="118">
        <v>9</v>
      </c>
      <c r="M186" s="117">
        <v>12</v>
      </c>
      <c r="N186" s="118">
        <f t="shared" si="23"/>
        <v>261562.5</v>
      </c>
      <c r="O186" s="118">
        <f t="shared" si="24"/>
        <v>3033280.3294915948</v>
      </c>
      <c r="P186" s="118">
        <f t="shared" si="25"/>
        <v>158678.47723652906</v>
      </c>
      <c r="Q186" s="118">
        <f t="shared" si="26"/>
        <v>102884.02276347094</v>
      </c>
      <c r="R186" s="119">
        <v>0.606656065898319</v>
      </c>
      <c r="S186" s="143">
        <v>5100000</v>
      </c>
      <c r="T186" s="142">
        <v>296437.5</v>
      </c>
      <c r="U186" s="120">
        <f t="shared" si="20"/>
        <v>158678.47723652906</v>
      </c>
      <c r="V186" s="118">
        <f t="shared" si="27"/>
        <v>-2066719.6705084052</v>
      </c>
      <c r="W186" s="118">
        <f t="shared" si="27"/>
        <v>-137759.02276347094</v>
      </c>
      <c r="X186" s="121">
        <f t="shared" si="21"/>
        <v>-2066719.6705084052</v>
      </c>
      <c r="Y186" s="121">
        <f t="shared" si="21"/>
        <v>-137759.02276347094</v>
      </c>
      <c r="Z186" s="121"/>
      <c r="AA186" s="121"/>
      <c r="AB186" s="121">
        <f>Y186-Z186-AA186</f>
        <v>-137759.02276347094</v>
      </c>
      <c r="AC186" s="122">
        <v>0</v>
      </c>
      <c r="AD186" s="122">
        <f>AB186/J186/K186/9*M186</f>
        <v>-2633386.3371750722</v>
      </c>
      <c r="AE186" s="122"/>
      <c r="AF186" s="123"/>
      <c r="AG186" s="124">
        <f t="shared" si="19"/>
        <v>-137759.02276347094</v>
      </c>
      <c r="AH186" s="125">
        <f>AB186/J186/K186/8*M186</f>
        <v>-2962559.6293219561</v>
      </c>
      <c r="AI186" s="126"/>
    </row>
    <row r="187" spans="1:35" s="127" customFormat="1" ht="25.5">
      <c r="A187" s="110">
        <f t="shared" si="22"/>
        <v>176</v>
      </c>
      <c r="B187" s="111" t="s">
        <v>293</v>
      </c>
      <c r="C187" s="112" t="s">
        <v>294</v>
      </c>
      <c r="D187" s="111" t="s">
        <v>40</v>
      </c>
      <c r="E187" s="113" t="s">
        <v>97</v>
      </c>
      <c r="F187" s="111"/>
      <c r="G187" s="111"/>
      <c r="H187" s="114">
        <v>43525</v>
      </c>
      <c r="I187" s="115">
        <v>15000000</v>
      </c>
      <c r="J187" s="116">
        <v>7.7499999999999999E-2</v>
      </c>
      <c r="K187" s="117">
        <v>0.9</v>
      </c>
      <c r="L187" s="118">
        <v>9</v>
      </c>
      <c r="M187" s="117">
        <v>12</v>
      </c>
      <c r="N187" s="118">
        <f t="shared" si="23"/>
        <v>784687.5</v>
      </c>
      <c r="O187" s="118">
        <f t="shared" si="24"/>
        <v>9099840.9884747844</v>
      </c>
      <c r="P187" s="118">
        <f t="shared" si="25"/>
        <v>476035.43170958717</v>
      </c>
      <c r="Q187" s="118">
        <f t="shared" si="26"/>
        <v>308652.06829041283</v>
      </c>
      <c r="R187" s="119">
        <v>0.606656065898319</v>
      </c>
      <c r="S187" s="118"/>
      <c r="T187" s="117"/>
      <c r="U187" s="120"/>
      <c r="V187" s="118">
        <f t="shared" si="27"/>
        <v>9099840.9884747844</v>
      </c>
      <c r="W187" s="118">
        <f t="shared" si="27"/>
        <v>476035.43170958717</v>
      </c>
      <c r="X187" s="121">
        <f t="shared" si="21"/>
        <v>9099840.9884747844</v>
      </c>
      <c r="Y187" s="121">
        <f t="shared" si="21"/>
        <v>476035.43170958717</v>
      </c>
      <c r="Z187" s="121">
        <f>813750-Z188-Z189</f>
        <v>476035.43</v>
      </c>
      <c r="AA187" s="121"/>
      <c r="AB187" s="121">
        <f>Y187-Z187-AA187</f>
        <v>1.7095871735364199E-3</v>
      </c>
      <c r="AC187" s="122">
        <v>2379713.7792546153</v>
      </c>
      <c r="AD187" s="122">
        <f>AB187/J187/K187/9*M187</f>
        <v>3.2680280497709345E-2</v>
      </c>
      <c r="AE187" s="122"/>
      <c r="AF187" s="123"/>
      <c r="AG187" s="124">
        <f t="shared" si="19"/>
        <v>1.7095871735364199E-3</v>
      </c>
      <c r="AH187" s="154">
        <f>AB187/J187/K187/8*M187</f>
        <v>3.6765315559923011E-2</v>
      </c>
      <c r="AI187" s="126"/>
    </row>
    <row r="188" spans="1:35" s="127" customFormat="1" ht="25.5">
      <c r="A188" s="110">
        <f t="shared" si="22"/>
        <v>177</v>
      </c>
      <c r="B188" s="111" t="s">
        <v>293</v>
      </c>
      <c r="C188" s="112" t="s">
        <v>294</v>
      </c>
      <c r="D188" s="111" t="s">
        <v>40</v>
      </c>
      <c r="E188" s="113" t="s">
        <v>97</v>
      </c>
      <c r="F188" s="111"/>
      <c r="G188" s="111"/>
      <c r="H188" s="114">
        <v>43525</v>
      </c>
      <c r="I188" s="115">
        <v>10000000</v>
      </c>
      <c r="J188" s="116">
        <v>7.7499999999999999E-2</v>
      </c>
      <c r="K188" s="117">
        <v>0.9</v>
      </c>
      <c r="L188" s="118">
        <v>9</v>
      </c>
      <c r="M188" s="117">
        <v>12</v>
      </c>
      <c r="N188" s="118">
        <f t="shared" si="23"/>
        <v>523125</v>
      </c>
      <c r="O188" s="118">
        <f t="shared" si="24"/>
        <v>6066560.6589831896</v>
      </c>
      <c r="P188" s="118">
        <f t="shared" si="25"/>
        <v>317356.95447305811</v>
      </c>
      <c r="Q188" s="118">
        <f t="shared" si="26"/>
        <v>205768.04552694189</v>
      </c>
      <c r="R188" s="119">
        <v>0.606656065898319</v>
      </c>
      <c r="S188" s="118"/>
      <c r="T188" s="117"/>
      <c r="U188" s="120"/>
      <c r="V188" s="118">
        <f t="shared" si="27"/>
        <v>6066560.6589831896</v>
      </c>
      <c r="W188" s="118">
        <f t="shared" si="27"/>
        <v>317356.95447305811</v>
      </c>
      <c r="X188" s="121">
        <f t="shared" si="21"/>
        <v>6066560.6589831896</v>
      </c>
      <c r="Y188" s="121">
        <f t="shared" si="21"/>
        <v>317356.95447305811</v>
      </c>
      <c r="Z188" s="121">
        <v>317356.95</v>
      </c>
      <c r="AA188" s="121"/>
      <c r="AB188" s="121">
        <f>Y188-Z188-AA188</f>
        <v>4.4730580993928015E-3</v>
      </c>
      <c r="AC188" s="122">
        <v>0</v>
      </c>
      <c r="AD188" s="122">
        <f>AB188/J188/K188/9*M188</f>
        <v>8.5506486965692741E-2</v>
      </c>
      <c r="AE188" s="122"/>
      <c r="AF188" s="123"/>
      <c r="AG188" s="124">
        <f t="shared" si="19"/>
        <v>4.4730580993928015E-3</v>
      </c>
      <c r="AH188" s="154">
        <f>AB188/J188/K188/8*M188</f>
        <v>9.6194797836404333E-2</v>
      </c>
      <c r="AI188" s="126"/>
    </row>
    <row r="189" spans="1:35" s="75" customFormat="1">
      <c r="A189" s="62">
        <f t="shared" si="22"/>
        <v>178</v>
      </c>
      <c r="B189" s="63" t="s">
        <v>293</v>
      </c>
      <c r="C189" s="64" t="s">
        <v>294</v>
      </c>
      <c r="D189" s="63" t="s">
        <v>251</v>
      </c>
      <c r="E189" s="63" t="s">
        <v>97</v>
      </c>
      <c r="F189" s="63"/>
      <c r="G189" s="63"/>
      <c r="H189" s="65">
        <v>43525</v>
      </c>
      <c r="I189" s="66">
        <v>5000000</v>
      </c>
      <c r="J189" s="67">
        <v>7.7499999999999999E-2</v>
      </c>
      <c r="K189" s="68">
        <v>0.9</v>
      </c>
      <c r="L189" s="69">
        <v>9</v>
      </c>
      <c r="M189" s="68">
        <v>12</v>
      </c>
      <c r="N189" s="69">
        <f t="shared" si="23"/>
        <v>261562.5</v>
      </c>
      <c r="O189" s="69">
        <f t="shared" si="24"/>
        <v>3033280.3294915948</v>
      </c>
      <c r="P189" s="69">
        <f t="shared" si="25"/>
        <v>158678.47723652906</v>
      </c>
      <c r="Q189" s="69">
        <f t="shared" si="26"/>
        <v>102884.02276347094</v>
      </c>
      <c r="R189" s="70">
        <v>0.606656065898319</v>
      </c>
      <c r="S189" s="69"/>
      <c r="T189" s="68"/>
      <c r="U189" s="69"/>
      <c r="V189" s="69">
        <f t="shared" si="27"/>
        <v>3033280.3294915948</v>
      </c>
      <c r="W189" s="69">
        <f t="shared" si="27"/>
        <v>158678.47723652906</v>
      </c>
      <c r="X189" s="71">
        <f t="shared" si="21"/>
        <v>3033280.3294915948</v>
      </c>
      <c r="Y189" s="71">
        <f t="shared" si="21"/>
        <v>158678.47723652906</v>
      </c>
      <c r="Z189" s="71">
        <v>20357.62</v>
      </c>
      <c r="AA189" s="71"/>
      <c r="AB189" s="71">
        <f>Y189-Z189-AA189</f>
        <v>138320.85723652906</v>
      </c>
      <c r="AC189" s="72">
        <v>0</v>
      </c>
      <c r="AD189" s="72">
        <f>AB189/J189/K189/9*M189</f>
        <v>2644126.3032072457</v>
      </c>
      <c r="AE189" s="72"/>
      <c r="AF189" s="73"/>
      <c r="AG189" s="73">
        <f t="shared" si="19"/>
        <v>138320.85723652906</v>
      </c>
      <c r="AH189" s="74">
        <f>AB189/J189/K189/8*M189</f>
        <v>2974642.0911081517</v>
      </c>
      <c r="AI189" s="74"/>
    </row>
    <row r="190" spans="1:35" s="127" customFormat="1" ht="25.5">
      <c r="A190" s="110">
        <f t="shared" si="22"/>
        <v>179</v>
      </c>
      <c r="B190" s="111" t="s">
        <v>295</v>
      </c>
      <c r="C190" s="112" t="s">
        <v>296</v>
      </c>
      <c r="D190" s="111" t="s">
        <v>40</v>
      </c>
      <c r="E190" s="113" t="s">
        <v>41</v>
      </c>
      <c r="F190" s="111"/>
      <c r="G190" s="111"/>
      <c r="H190" s="114">
        <v>43525</v>
      </c>
      <c r="I190" s="115">
        <v>3000000</v>
      </c>
      <c r="J190" s="116">
        <v>7.7499999999999999E-2</v>
      </c>
      <c r="K190" s="117">
        <v>0.9</v>
      </c>
      <c r="L190" s="118">
        <v>9</v>
      </c>
      <c r="M190" s="117">
        <v>12</v>
      </c>
      <c r="N190" s="118">
        <f t="shared" si="23"/>
        <v>156937.5</v>
      </c>
      <c r="O190" s="118">
        <f t="shared" si="24"/>
        <v>1819968.197694957</v>
      </c>
      <c r="P190" s="118">
        <f t="shared" si="25"/>
        <v>95207.086341917442</v>
      </c>
      <c r="Q190" s="118">
        <f t="shared" si="26"/>
        <v>61730.413658082558</v>
      </c>
      <c r="R190" s="119">
        <v>0.606656065898319</v>
      </c>
      <c r="S190" s="143">
        <v>2000000</v>
      </c>
      <c r="T190" s="142">
        <v>116250</v>
      </c>
      <c r="U190" s="120">
        <f t="shared" si="20"/>
        <v>95207.086341917442</v>
      </c>
      <c r="V190" s="118">
        <f t="shared" si="27"/>
        <v>-180031.80230504298</v>
      </c>
      <c r="W190" s="118">
        <f t="shared" si="27"/>
        <v>-21042.913658082558</v>
      </c>
      <c r="X190" s="121">
        <f t="shared" si="21"/>
        <v>-180031.80230504298</v>
      </c>
      <c r="Y190" s="121">
        <f t="shared" si="21"/>
        <v>-21042.913658082558</v>
      </c>
      <c r="Z190" s="121"/>
      <c r="AA190" s="121"/>
      <c r="AB190" s="121">
        <f>Y190-Z190-AA190</f>
        <v>-21042.913658082558</v>
      </c>
      <c r="AC190" s="122">
        <v>-362028.62207453861</v>
      </c>
      <c r="AD190" s="122">
        <f>AB190/J190/K190/9*M190</f>
        <v>-402254.02452726517</v>
      </c>
      <c r="AE190" s="122"/>
      <c r="AF190" s="123"/>
      <c r="AG190" s="124">
        <f t="shared" si="19"/>
        <v>-21042.913658082558</v>
      </c>
      <c r="AH190" s="125">
        <f>AB190/J190/K190/8*M190</f>
        <v>-452535.77759317332</v>
      </c>
      <c r="AI190" s="126"/>
    </row>
    <row r="191" spans="1:35" s="127" customFormat="1" ht="25.5">
      <c r="A191" s="110">
        <f t="shared" si="22"/>
        <v>180</v>
      </c>
      <c r="B191" s="111" t="s">
        <v>297</v>
      </c>
      <c r="C191" s="112" t="s">
        <v>298</v>
      </c>
      <c r="D191" s="111" t="s">
        <v>40</v>
      </c>
      <c r="E191" s="113" t="s">
        <v>41</v>
      </c>
      <c r="F191" s="111"/>
      <c r="G191" s="111"/>
      <c r="H191" s="114">
        <v>43525</v>
      </c>
      <c r="I191" s="115">
        <v>5000000</v>
      </c>
      <c r="J191" s="116">
        <v>7.7499999999999999E-2</v>
      </c>
      <c r="K191" s="117">
        <v>0.9</v>
      </c>
      <c r="L191" s="118">
        <v>9</v>
      </c>
      <c r="M191" s="117">
        <v>12</v>
      </c>
      <c r="N191" s="118">
        <f t="shared" si="23"/>
        <v>261562.5</v>
      </c>
      <c r="O191" s="118">
        <f t="shared" si="24"/>
        <v>3033280.3294915948</v>
      </c>
      <c r="P191" s="118">
        <f t="shared" si="25"/>
        <v>158678.47723652906</v>
      </c>
      <c r="Q191" s="118">
        <f t="shared" si="26"/>
        <v>102884.02276347094</v>
      </c>
      <c r="R191" s="119">
        <v>0.606656065898319</v>
      </c>
      <c r="S191" s="143">
        <v>5000000</v>
      </c>
      <c r="T191" s="142">
        <v>290625</v>
      </c>
      <c r="U191" s="120">
        <f t="shared" si="20"/>
        <v>158678.47723652906</v>
      </c>
      <c r="V191" s="118">
        <f t="shared" si="27"/>
        <v>-1966719.6705084052</v>
      </c>
      <c r="W191" s="118">
        <f t="shared" si="27"/>
        <v>-131946.52276347094</v>
      </c>
      <c r="X191" s="121">
        <f t="shared" si="21"/>
        <v>-1966719.6705084052</v>
      </c>
      <c r="Y191" s="121">
        <f t="shared" si="21"/>
        <v>-131946.52276347094</v>
      </c>
      <c r="Z191" s="121"/>
      <c r="AA191" s="121"/>
      <c r="AB191" s="121">
        <f>Y191-Z191-AA191</f>
        <v>-131946.52276347094</v>
      </c>
      <c r="AC191" s="122">
        <v>-2270047.7034575646</v>
      </c>
      <c r="AD191" s="122">
        <f>AB191/J191/K191/9*M191</f>
        <v>-2522275.2260639607</v>
      </c>
      <c r="AE191" s="122"/>
      <c r="AF191" s="123"/>
      <c r="AG191" s="124">
        <f t="shared" si="19"/>
        <v>-131946.52276347094</v>
      </c>
      <c r="AH191" s="125">
        <f>AB191/J191/K191/8*M191</f>
        <v>-2837559.6293219561</v>
      </c>
      <c r="AI191" s="126"/>
    </row>
    <row r="192" spans="1:35" s="127" customFormat="1" ht="25.5">
      <c r="A192" s="110">
        <f t="shared" si="22"/>
        <v>181</v>
      </c>
      <c r="B192" s="111" t="s">
        <v>299</v>
      </c>
      <c r="C192" s="112" t="s">
        <v>300</v>
      </c>
      <c r="D192" s="111" t="s">
        <v>40</v>
      </c>
      <c r="E192" s="113" t="s">
        <v>97</v>
      </c>
      <c r="F192" s="111"/>
      <c r="G192" s="111"/>
      <c r="H192" s="114">
        <v>43497</v>
      </c>
      <c r="I192" s="115">
        <v>15000000</v>
      </c>
      <c r="J192" s="116">
        <v>7.7499999999999999E-2</v>
      </c>
      <c r="K192" s="117">
        <v>0.9</v>
      </c>
      <c r="L192" s="118">
        <v>10</v>
      </c>
      <c r="M192" s="117">
        <v>12</v>
      </c>
      <c r="N192" s="118">
        <f t="shared" si="23"/>
        <v>871875</v>
      </c>
      <c r="O192" s="118">
        <f t="shared" si="24"/>
        <v>9099840.9884747844</v>
      </c>
      <c r="P192" s="118">
        <f t="shared" si="25"/>
        <v>528928.25745509693</v>
      </c>
      <c r="Q192" s="118">
        <f t="shared" si="26"/>
        <v>342946.74254490307</v>
      </c>
      <c r="R192" s="119">
        <v>0.606656065898319</v>
      </c>
      <c r="S192" s="143">
        <v>15000000</v>
      </c>
      <c r="T192" s="142">
        <v>871875</v>
      </c>
      <c r="U192" s="120">
        <f t="shared" si="20"/>
        <v>528928.25745509693</v>
      </c>
      <c r="V192" s="118">
        <f t="shared" si="27"/>
        <v>-5900159.0115252156</v>
      </c>
      <c r="W192" s="118">
        <f t="shared" si="27"/>
        <v>-342946.74254490307</v>
      </c>
      <c r="X192" s="121">
        <f t="shared" si="21"/>
        <v>-5900159.0115252156</v>
      </c>
      <c r="Y192" s="121">
        <f t="shared" si="21"/>
        <v>-342946.74254490307</v>
      </c>
      <c r="Z192" s="121"/>
      <c r="AA192" s="121"/>
      <c r="AB192" s="121">
        <f>Y192-Z192-AA192</f>
        <v>-342946.74254490307</v>
      </c>
      <c r="AC192" s="122">
        <v>-5900159.0115252137</v>
      </c>
      <c r="AD192" s="122">
        <f>AB192/J192/K192/9*M192</f>
        <v>-6555732.2350280145</v>
      </c>
      <c r="AE192" s="122"/>
      <c r="AF192" s="123"/>
      <c r="AG192" s="124">
        <f t="shared" si="19"/>
        <v>-342946.74254490307</v>
      </c>
      <c r="AH192" s="125">
        <f>AB192/J192/K192/8*M192</f>
        <v>-7375198.7644065171</v>
      </c>
      <c r="AI192" s="126"/>
    </row>
    <row r="193" spans="1:35" s="127" customFormat="1" ht="25.5">
      <c r="A193" s="110">
        <f t="shared" si="22"/>
        <v>182</v>
      </c>
      <c r="B193" s="111" t="s">
        <v>301</v>
      </c>
      <c r="C193" s="112" t="s">
        <v>302</v>
      </c>
      <c r="D193" s="111" t="s">
        <v>40</v>
      </c>
      <c r="E193" s="113" t="s">
        <v>41</v>
      </c>
      <c r="F193" s="111"/>
      <c r="G193" s="111"/>
      <c r="H193" s="114">
        <v>43497</v>
      </c>
      <c r="I193" s="115">
        <v>7000000</v>
      </c>
      <c r="J193" s="116">
        <v>7.7499999999999999E-2</v>
      </c>
      <c r="K193" s="117">
        <v>0.9</v>
      </c>
      <c r="L193" s="118">
        <v>10</v>
      </c>
      <c r="M193" s="117">
        <v>12</v>
      </c>
      <c r="N193" s="118">
        <f t="shared" si="23"/>
        <v>406875</v>
      </c>
      <c r="O193" s="118">
        <f t="shared" si="24"/>
        <v>4246592.4612882333</v>
      </c>
      <c r="P193" s="118">
        <f t="shared" si="25"/>
        <v>246833.18681237855</v>
      </c>
      <c r="Q193" s="118">
        <f t="shared" si="26"/>
        <v>160041.81318762145</v>
      </c>
      <c r="R193" s="119">
        <v>0.606656065898319</v>
      </c>
      <c r="S193" s="118"/>
      <c r="T193" s="117"/>
      <c r="U193" s="120"/>
      <c r="V193" s="118">
        <f t="shared" si="27"/>
        <v>4246592.4612882333</v>
      </c>
      <c r="W193" s="118">
        <f t="shared" si="27"/>
        <v>246833.18681237855</v>
      </c>
      <c r="X193" s="121">
        <f t="shared" si="21"/>
        <v>4246592.4612882333</v>
      </c>
      <c r="Y193" s="121">
        <f t="shared" si="21"/>
        <v>246833.18681237855</v>
      </c>
      <c r="Z193" s="121">
        <f>352586.25-Z194</f>
        <v>246833.19</v>
      </c>
      <c r="AA193" s="121"/>
      <c r="AB193" s="121">
        <f>Y193-Z193-AA193</f>
        <v>-3.1876214488875121E-3</v>
      </c>
      <c r="AC193" s="122">
        <v>560.65898318961263</v>
      </c>
      <c r="AD193" s="122">
        <f>AB193/J193/K193/9*M193</f>
        <v>-6.0934221245161527E-2</v>
      </c>
      <c r="AE193" s="122"/>
      <c r="AF193" s="123"/>
      <c r="AG193" s="124">
        <f t="shared" si="19"/>
        <v>-3.1876214488875121E-3</v>
      </c>
      <c r="AH193" s="125">
        <f>AB193/J193/K193/8*M193</f>
        <v>-6.8550998900806709E-2</v>
      </c>
      <c r="AI193" s="126"/>
    </row>
    <row r="194" spans="1:35" s="127" customFormat="1" ht="25.5">
      <c r="A194" s="110">
        <f t="shared" si="22"/>
        <v>183</v>
      </c>
      <c r="B194" s="111" t="s">
        <v>301</v>
      </c>
      <c r="C194" s="112" t="s">
        <v>302</v>
      </c>
      <c r="D194" s="111" t="s">
        <v>40</v>
      </c>
      <c r="E194" s="113" t="s">
        <v>41</v>
      </c>
      <c r="F194" s="111"/>
      <c r="G194" s="111"/>
      <c r="H194" s="114">
        <v>43497</v>
      </c>
      <c r="I194" s="115">
        <v>3000000</v>
      </c>
      <c r="J194" s="116">
        <v>7.7499999999999999E-2</v>
      </c>
      <c r="K194" s="117">
        <v>0.9</v>
      </c>
      <c r="L194" s="118">
        <v>10</v>
      </c>
      <c r="M194" s="117">
        <v>12</v>
      </c>
      <c r="N194" s="118">
        <f t="shared" si="23"/>
        <v>174375</v>
      </c>
      <c r="O194" s="118">
        <f t="shared" si="24"/>
        <v>1819968.197694957</v>
      </c>
      <c r="P194" s="118">
        <f t="shared" si="25"/>
        <v>105785.65149101937</v>
      </c>
      <c r="Q194" s="118">
        <f t="shared" si="26"/>
        <v>68589.348508980635</v>
      </c>
      <c r="R194" s="119">
        <v>0.606656065898319</v>
      </c>
      <c r="S194" s="118"/>
      <c r="T194" s="117"/>
      <c r="U194" s="120"/>
      <c r="V194" s="118">
        <f t="shared" si="27"/>
        <v>1819968.197694957</v>
      </c>
      <c r="W194" s="118">
        <f t="shared" si="27"/>
        <v>105785.65149101937</v>
      </c>
      <c r="X194" s="121">
        <f t="shared" si="21"/>
        <v>1819968.197694957</v>
      </c>
      <c r="Y194" s="121">
        <f t="shared" si="21"/>
        <v>105785.65149101937</v>
      </c>
      <c r="Z194" s="121">
        <v>105753.06</v>
      </c>
      <c r="AA194" s="121"/>
      <c r="AB194" s="121">
        <f>Y194-Z194-AA194</f>
        <v>32.591491019367822</v>
      </c>
      <c r="AC194" s="122">
        <v>0</v>
      </c>
      <c r="AD194" s="122">
        <f>AB194/J194/K194/9*M194</f>
        <v>623.01535998791542</v>
      </c>
      <c r="AE194" s="122"/>
      <c r="AF194" s="123"/>
      <c r="AG194" s="124">
        <f t="shared" si="19"/>
        <v>32.591491019367822</v>
      </c>
      <c r="AH194" s="154">
        <f>AB194/J194/K194/8*M194</f>
        <v>700.89227998640479</v>
      </c>
      <c r="AI194" s="126"/>
    </row>
    <row r="195" spans="1:35" s="155" customFormat="1" ht="76.5">
      <c r="A195" s="145">
        <f t="shared" si="22"/>
        <v>184</v>
      </c>
      <c r="B195" s="113" t="s">
        <v>303</v>
      </c>
      <c r="C195" s="146" t="s">
        <v>304</v>
      </c>
      <c r="D195" s="113" t="s">
        <v>40</v>
      </c>
      <c r="E195" s="113" t="s">
        <v>41</v>
      </c>
      <c r="F195" s="113"/>
      <c r="G195" s="113"/>
      <c r="H195" s="147">
        <v>43497</v>
      </c>
      <c r="I195" s="148">
        <v>400000</v>
      </c>
      <c r="J195" s="149">
        <v>7.7499999999999999E-2</v>
      </c>
      <c r="K195" s="150">
        <v>0.9</v>
      </c>
      <c r="L195" s="120">
        <v>10</v>
      </c>
      <c r="M195" s="150">
        <v>12</v>
      </c>
      <c r="N195" s="120">
        <f t="shared" si="23"/>
        <v>23250</v>
      </c>
      <c r="O195" s="120">
        <f t="shared" si="24"/>
        <v>242662.4263593276</v>
      </c>
      <c r="P195" s="120">
        <f t="shared" si="25"/>
        <v>14104.753532135917</v>
      </c>
      <c r="Q195" s="120">
        <f t="shared" si="26"/>
        <v>9145.2464678640827</v>
      </c>
      <c r="R195" s="151">
        <v>0.606656065898319</v>
      </c>
      <c r="S195" s="120"/>
      <c r="T195" s="150"/>
      <c r="U195" s="120"/>
      <c r="V195" s="120">
        <f t="shared" si="27"/>
        <v>242662.4263593276</v>
      </c>
      <c r="W195" s="120">
        <f t="shared" si="27"/>
        <v>14104.753532135917</v>
      </c>
      <c r="X195" s="152">
        <f t="shared" si="21"/>
        <v>242662.4263593276</v>
      </c>
      <c r="Y195" s="152">
        <f t="shared" si="21"/>
        <v>14104.753532135917</v>
      </c>
      <c r="Z195" s="152"/>
      <c r="AA195" s="152"/>
      <c r="AB195" s="152">
        <f>Y195-Z195-AA195-14104.75</f>
        <v>3.532135917339474E-3</v>
      </c>
      <c r="AC195" s="153">
        <v>242662.42635932763</v>
      </c>
      <c r="AD195" s="153">
        <f>AB195/J195/K195/9*M195</f>
        <v>6.7519921956310139E-2</v>
      </c>
      <c r="AE195" s="153"/>
      <c r="AF195" s="124">
        <v>-14104.75</v>
      </c>
      <c r="AG195" s="124">
        <f t="shared" si="19"/>
        <v>-14104.746467864083</v>
      </c>
      <c r="AH195" s="154">
        <f>AB195/J195/K195/8*M195</f>
        <v>7.5959912200848898E-2</v>
      </c>
      <c r="AI195" s="154"/>
    </row>
    <row r="196" spans="1:35" s="75" customFormat="1" ht="76.5">
      <c r="A196" s="62">
        <f t="shared" si="22"/>
        <v>185</v>
      </c>
      <c r="B196" s="63" t="s">
        <v>305</v>
      </c>
      <c r="C196" s="64" t="s">
        <v>306</v>
      </c>
      <c r="D196" s="63" t="s">
        <v>40</v>
      </c>
      <c r="E196" s="63" t="s">
        <v>41</v>
      </c>
      <c r="F196" s="63"/>
      <c r="G196" s="63"/>
      <c r="H196" s="65">
        <v>43556</v>
      </c>
      <c r="I196" s="66">
        <v>1000000</v>
      </c>
      <c r="J196" s="67">
        <v>7.7499999999999999E-2</v>
      </c>
      <c r="K196" s="68">
        <v>0.9</v>
      </c>
      <c r="L196" s="69">
        <v>8</v>
      </c>
      <c r="M196" s="68">
        <v>12</v>
      </c>
      <c r="N196" s="69">
        <f t="shared" si="23"/>
        <v>46500</v>
      </c>
      <c r="O196" s="69">
        <f t="shared" si="24"/>
        <v>606656.06589831901</v>
      </c>
      <c r="P196" s="69">
        <f t="shared" si="25"/>
        <v>28209.507064271835</v>
      </c>
      <c r="Q196" s="69">
        <f t="shared" si="26"/>
        <v>18290.492935728165</v>
      </c>
      <c r="R196" s="70">
        <v>0.606656065898319</v>
      </c>
      <c r="S196" s="69"/>
      <c r="T196" s="68"/>
      <c r="U196" s="69"/>
      <c r="V196" s="69">
        <f t="shared" si="27"/>
        <v>606656.06589831901</v>
      </c>
      <c r="W196" s="69">
        <f t="shared" si="27"/>
        <v>28209.507064271835</v>
      </c>
      <c r="X196" s="71">
        <f t="shared" si="21"/>
        <v>606656.06589831901</v>
      </c>
      <c r="Y196" s="71">
        <f t="shared" si="21"/>
        <v>28209.507064271835</v>
      </c>
      <c r="Z196" s="71"/>
      <c r="AA196" s="71"/>
      <c r="AB196" s="71">
        <f>Y196-Z196-AA196</f>
        <v>28209.507064271835</v>
      </c>
      <c r="AC196" s="72">
        <v>485324.85271865525</v>
      </c>
      <c r="AD196" s="72">
        <f>AB196/J196/K196/9*M196</f>
        <v>539249.83635406138</v>
      </c>
      <c r="AE196" s="72"/>
      <c r="AF196" s="73"/>
      <c r="AG196" s="73">
        <f t="shared" si="19"/>
        <v>28209.507064271835</v>
      </c>
      <c r="AH196" s="74">
        <f>AB196/J196/K196/8*M196</f>
        <v>606656.06589831901</v>
      </c>
      <c r="AI196" s="74"/>
    </row>
    <row r="197" spans="1:35" s="127" customFormat="1" ht="25.5">
      <c r="A197" s="110">
        <f t="shared" si="22"/>
        <v>186</v>
      </c>
      <c r="B197" s="111" t="s">
        <v>307</v>
      </c>
      <c r="C197" s="112" t="s">
        <v>308</v>
      </c>
      <c r="D197" s="111" t="s">
        <v>40</v>
      </c>
      <c r="E197" s="113" t="s">
        <v>41</v>
      </c>
      <c r="F197" s="111"/>
      <c r="G197" s="111"/>
      <c r="H197" s="114">
        <v>43525</v>
      </c>
      <c r="I197" s="115">
        <v>3000000</v>
      </c>
      <c r="J197" s="116">
        <v>7.7499999999999999E-2</v>
      </c>
      <c r="K197" s="117">
        <v>0.9</v>
      </c>
      <c r="L197" s="118">
        <v>9</v>
      </c>
      <c r="M197" s="117">
        <v>12</v>
      </c>
      <c r="N197" s="118">
        <f t="shared" si="23"/>
        <v>156937.5</v>
      </c>
      <c r="O197" s="118">
        <f t="shared" si="24"/>
        <v>1819968.197694957</v>
      </c>
      <c r="P197" s="118">
        <f t="shared" si="25"/>
        <v>95207.086341917442</v>
      </c>
      <c r="Q197" s="118">
        <f t="shared" si="26"/>
        <v>61730.413658082558</v>
      </c>
      <c r="R197" s="119">
        <v>0.606656065898319</v>
      </c>
      <c r="S197" s="118"/>
      <c r="T197" s="117"/>
      <c r="U197" s="120"/>
      <c r="V197" s="118">
        <f t="shared" si="27"/>
        <v>1819968.197694957</v>
      </c>
      <c r="W197" s="118">
        <f t="shared" si="27"/>
        <v>95207.086341917442</v>
      </c>
      <c r="X197" s="121">
        <f t="shared" si="21"/>
        <v>1819968.197694957</v>
      </c>
      <c r="Y197" s="121">
        <f t="shared" si="21"/>
        <v>95207.086341917442</v>
      </c>
      <c r="Z197" s="121"/>
      <c r="AA197" s="121">
        <v>94879.11</v>
      </c>
      <c r="AB197" s="121">
        <f>Y197-Z197-AA197</f>
        <v>327.97634191744146</v>
      </c>
      <c r="AC197" s="122">
        <v>-862028.62207453861</v>
      </c>
      <c r="AD197" s="122">
        <f>AB197/J197/K197/9*M197</f>
        <v>6269.5597021255244</v>
      </c>
      <c r="AE197" s="122"/>
      <c r="AF197" s="123"/>
      <c r="AG197" s="124">
        <f t="shared" si="19"/>
        <v>327.97634191744146</v>
      </c>
      <c r="AH197" s="154">
        <f>AB197/J197/K197/8*M197</f>
        <v>7053.2546648912157</v>
      </c>
      <c r="AI197" s="126"/>
    </row>
    <row r="198" spans="1:35" s="75" customFormat="1" ht="25.5">
      <c r="A198" s="62">
        <f t="shared" si="22"/>
        <v>187</v>
      </c>
      <c r="B198" s="63" t="s">
        <v>309</v>
      </c>
      <c r="C198" s="64" t="s">
        <v>310</v>
      </c>
      <c r="D198" s="63" t="s">
        <v>40</v>
      </c>
      <c r="E198" s="63" t="s">
        <v>41</v>
      </c>
      <c r="F198" s="63"/>
      <c r="G198" s="63"/>
      <c r="H198" s="65">
        <v>43497</v>
      </c>
      <c r="I198" s="66">
        <v>3500000</v>
      </c>
      <c r="J198" s="67">
        <v>7.7499999999999999E-2</v>
      </c>
      <c r="K198" s="68">
        <v>0.9</v>
      </c>
      <c r="L198" s="69">
        <v>10</v>
      </c>
      <c r="M198" s="68">
        <v>12</v>
      </c>
      <c r="N198" s="69">
        <f t="shared" si="23"/>
        <v>203437.5</v>
      </c>
      <c r="O198" s="69">
        <f t="shared" si="24"/>
        <v>2123296.2306441166</v>
      </c>
      <c r="P198" s="69">
        <f t="shared" si="25"/>
        <v>123416.59340618928</v>
      </c>
      <c r="Q198" s="69">
        <f t="shared" si="26"/>
        <v>80020.906593810723</v>
      </c>
      <c r="R198" s="70">
        <v>0.606656065898319</v>
      </c>
      <c r="S198" s="69"/>
      <c r="T198" s="68"/>
      <c r="U198" s="69"/>
      <c r="V198" s="69">
        <f t="shared" si="27"/>
        <v>2123296.2306441166</v>
      </c>
      <c r="W198" s="69">
        <f t="shared" si="27"/>
        <v>123416.59340618928</v>
      </c>
      <c r="X198" s="71">
        <f t="shared" si="21"/>
        <v>2123296.2306441166</v>
      </c>
      <c r="Y198" s="71">
        <f t="shared" si="21"/>
        <v>123416.59340618928</v>
      </c>
      <c r="Z198" s="71"/>
      <c r="AA198" s="71"/>
      <c r="AB198" s="71">
        <f>Y198-Z198-AA198</f>
        <v>123416.59340618928</v>
      </c>
      <c r="AC198" s="72">
        <v>4246592.4612882333</v>
      </c>
      <c r="AD198" s="72">
        <f>AB198/J198/K198/9*M198</f>
        <v>2359218.0340490183</v>
      </c>
      <c r="AE198" s="72"/>
      <c r="AF198" s="73"/>
      <c r="AG198" s="73">
        <f t="shared" si="19"/>
        <v>123416.59340618928</v>
      </c>
      <c r="AH198" s="74">
        <f>AB198/J198/K198/8*M198</f>
        <v>2654120.2883051457</v>
      </c>
      <c r="AI198" s="74"/>
    </row>
    <row r="199" spans="1:35" s="75" customFormat="1" ht="25.5">
      <c r="A199" s="62">
        <f t="shared" si="22"/>
        <v>188</v>
      </c>
      <c r="B199" s="63" t="s">
        <v>309</v>
      </c>
      <c r="C199" s="64" t="s">
        <v>310</v>
      </c>
      <c r="D199" s="63" t="s">
        <v>40</v>
      </c>
      <c r="E199" s="63" t="s">
        <v>41</v>
      </c>
      <c r="F199" s="63"/>
      <c r="G199" s="63"/>
      <c r="H199" s="65">
        <v>43497</v>
      </c>
      <c r="I199" s="66">
        <v>3500000</v>
      </c>
      <c r="J199" s="67">
        <v>7.7499999999999999E-2</v>
      </c>
      <c r="K199" s="68">
        <v>0.9</v>
      </c>
      <c r="L199" s="69">
        <v>10</v>
      </c>
      <c r="M199" s="68">
        <v>12</v>
      </c>
      <c r="N199" s="69">
        <f t="shared" si="23"/>
        <v>203437.5</v>
      </c>
      <c r="O199" s="69">
        <f t="shared" si="24"/>
        <v>2123296.2306441166</v>
      </c>
      <c r="P199" s="69">
        <f t="shared" si="25"/>
        <v>123416.59340618928</v>
      </c>
      <c r="Q199" s="69">
        <f t="shared" si="26"/>
        <v>80020.906593810723</v>
      </c>
      <c r="R199" s="70">
        <v>0.606656065898319</v>
      </c>
      <c r="S199" s="69"/>
      <c r="T199" s="68"/>
      <c r="U199" s="69"/>
      <c r="V199" s="69">
        <f t="shared" si="27"/>
        <v>2123296.2306441166</v>
      </c>
      <c r="W199" s="69">
        <f t="shared" si="27"/>
        <v>123416.59340618928</v>
      </c>
      <c r="X199" s="71">
        <f t="shared" si="21"/>
        <v>2123296.2306441166</v>
      </c>
      <c r="Y199" s="71">
        <f t="shared" si="21"/>
        <v>123416.59340618928</v>
      </c>
      <c r="Z199" s="71"/>
      <c r="AA199" s="71"/>
      <c r="AB199" s="71">
        <f>Y199-Z199-AA199</f>
        <v>123416.59340618928</v>
      </c>
      <c r="AC199" s="72">
        <v>0</v>
      </c>
      <c r="AD199" s="72">
        <f>AB199/J199/K199/9*M199</f>
        <v>2359218.0340490183</v>
      </c>
      <c r="AE199" s="72"/>
      <c r="AF199" s="73"/>
      <c r="AG199" s="73">
        <f t="shared" si="19"/>
        <v>123416.59340618928</v>
      </c>
      <c r="AH199" s="74">
        <f>AB199/J199/K199/8*M199</f>
        <v>2654120.2883051457</v>
      </c>
      <c r="AI199" s="74"/>
    </row>
    <row r="200" spans="1:35" s="127" customFormat="1" ht="25.5">
      <c r="A200" s="110">
        <f t="shared" si="22"/>
        <v>189</v>
      </c>
      <c r="B200" s="111" t="s">
        <v>311</v>
      </c>
      <c r="C200" s="112" t="s">
        <v>312</v>
      </c>
      <c r="D200" s="111" t="s">
        <v>40</v>
      </c>
      <c r="E200" s="113"/>
      <c r="F200" s="111"/>
      <c r="G200" s="111"/>
      <c r="H200" s="114">
        <v>43497</v>
      </c>
      <c r="I200" s="115">
        <v>8000000</v>
      </c>
      <c r="J200" s="116">
        <v>7.7499999999999999E-2</v>
      </c>
      <c r="K200" s="117">
        <v>0.9</v>
      </c>
      <c r="L200" s="118">
        <v>10</v>
      </c>
      <c r="M200" s="117">
        <v>12</v>
      </c>
      <c r="N200" s="118">
        <f t="shared" si="23"/>
        <v>465000</v>
      </c>
      <c r="O200" s="118">
        <f t="shared" si="24"/>
        <v>4853248.5271865521</v>
      </c>
      <c r="P200" s="118">
        <f t="shared" si="25"/>
        <v>282095.07064271835</v>
      </c>
      <c r="Q200" s="118">
        <f t="shared" si="26"/>
        <v>182904.92935728165</v>
      </c>
      <c r="R200" s="119">
        <v>0.606656065898319</v>
      </c>
      <c r="S200" s="118"/>
      <c r="T200" s="117"/>
      <c r="U200" s="120"/>
      <c r="V200" s="118">
        <f t="shared" si="27"/>
        <v>4853248.5271865521</v>
      </c>
      <c r="W200" s="118">
        <f t="shared" si="27"/>
        <v>282095.07064271835</v>
      </c>
      <c r="X200" s="121">
        <f t="shared" si="21"/>
        <v>4853248.5271865521</v>
      </c>
      <c r="Y200" s="121">
        <f>SUM(W200)-56875.88</f>
        <v>225219.19064271834</v>
      </c>
      <c r="Z200" s="121">
        <f>464999.99-Z201-Z202</f>
        <v>225219.17999999993</v>
      </c>
      <c r="AA200" s="121"/>
      <c r="AB200" s="121">
        <f>Y200-Z200-AA200</f>
        <v>1.0642718407325447E-2</v>
      </c>
      <c r="AC200" s="122">
        <v>1.1854261159896851E-2</v>
      </c>
      <c r="AD200" s="122">
        <f>AB200/J200/K200/9*M200</f>
        <v>0.20344503526548047</v>
      </c>
      <c r="AE200" s="122"/>
      <c r="AF200" s="123"/>
      <c r="AG200" s="124">
        <f t="shared" si="19"/>
        <v>1.0642718407325447E-2</v>
      </c>
      <c r="AH200" s="154">
        <f>AB200/J200/K200/8*M200</f>
        <v>0.22887566467366549</v>
      </c>
      <c r="AI200" s="126"/>
    </row>
    <row r="201" spans="1:35" s="127" customFormat="1" ht="25.5">
      <c r="A201" s="110">
        <f t="shared" si="22"/>
        <v>190</v>
      </c>
      <c r="B201" s="111" t="s">
        <v>311</v>
      </c>
      <c r="C201" s="112" t="s">
        <v>312</v>
      </c>
      <c r="D201" s="111" t="s">
        <v>80</v>
      </c>
      <c r="E201" s="113"/>
      <c r="F201" s="111"/>
      <c r="G201" s="111"/>
      <c r="H201" s="114">
        <v>43556</v>
      </c>
      <c r="I201" s="115">
        <v>6000000</v>
      </c>
      <c r="J201" s="116">
        <v>7.7499999999999999E-2</v>
      </c>
      <c r="K201" s="117">
        <v>0.9</v>
      </c>
      <c r="L201" s="118">
        <v>8</v>
      </c>
      <c r="M201" s="117">
        <v>12</v>
      </c>
      <c r="N201" s="118">
        <f t="shared" si="23"/>
        <v>279000</v>
      </c>
      <c r="O201" s="118">
        <f t="shared" si="24"/>
        <v>3639936.395389914</v>
      </c>
      <c r="P201" s="118">
        <f t="shared" si="25"/>
        <v>169257.04238563101</v>
      </c>
      <c r="Q201" s="118">
        <f t="shared" si="26"/>
        <v>109742.95761436899</v>
      </c>
      <c r="R201" s="119">
        <v>0.606656065898319</v>
      </c>
      <c r="S201" s="118"/>
      <c r="T201" s="117"/>
      <c r="U201" s="120"/>
      <c r="V201" s="118">
        <f t="shared" si="27"/>
        <v>3639936.395389914</v>
      </c>
      <c r="W201" s="118">
        <f t="shared" si="27"/>
        <v>169257.04238563101</v>
      </c>
      <c r="X201" s="121">
        <f t="shared" si="21"/>
        <v>3639936.395389914</v>
      </c>
      <c r="Y201" s="121">
        <f t="shared" si="21"/>
        <v>169257.04238563101</v>
      </c>
      <c r="Z201" s="121">
        <v>169257.04</v>
      </c>
      <c r="AA201" s="121"/>
      <c r="AB201" s="121">
        <f>Y201-Z201-AA201</f>
        <v>2.385630999924615E-3</v>
      </c>
      <c r="AC201" s="122">
        <v>0</v>
      </c>
      <c r="AD201" s="122">
        <f>AB201/J201/K201/9*M201</f>
        <v>4.5603459974664085E-2</v>
      </c>
      <c r="AE201" s="122"/>
      <c r="AF201" s="123"/>
      <c r="AG201" s="124">
        <f t="shared" si="19"/>
        <v>2.385630999924615E-3</v>
      </c>
      <c r="AH201" s="154">
        <f>AB201/J201/K201/8*M201</f>
        <v>5.1303892471497095E-2</v>
      </c>
      <c r="AI201" s="126"/>
    </row>
    <row r="202" spans="1:35" s="127" customFormat="1" ht="25.5">
      <c r="A202" s="110">
        <f t="shared" si="22"/>
        <v>191</v>
      </c>
      <c r="B202" s="111" t="s">
        <v>311</v>
      </c>
      <c r="C202" s="112" t="s">
        <v>312</v>
      </c>
      <c r="D202" s="111" t="s">
        <v>80</v>
      </c>
      <c r="E202" s="113"/>
      <c r="F202" s="111"/>
      <c r="G202" s="111"/>
      <c r="H202" s="114">
        <v>43739</v>
      </c>
      <c r="I202" s="115">
        <v>10000000</v>
      </c>
      <c r="J202" s="116">
        <v>7.7499999999999999E-2</v>
      </c>
      <c r="K202" s="117">
        <v>0.9</v>
      </c>
      <c r="L202" s="118">
        <v>2</v>
      </c>
      <c r="M202" s="117">
        <v>12</v>
      </c>
      <c r="N202" s="118">
        <f t="shared" si="23"/>
        <v>116250</v>
      </c>
      <c r="O202" s="118">
        <f t="shared" si="24"/>
        <v>6066560.6589831896</v>
      </c>
      <c r="P202" s="118">
        <f t="shared" si="25"/>
        <v>70523.767660679572</v>
      </c>
      <c r="Q202" s="118">
        <f t="shared" si="26"/>
        <v>45726.232339320428</v>
      </c>
      <c r="R202" s="119">
        <v>0.606656065898319</v>
      </c>
      <c r="S202" s="118"/>
      <c r="T202" s="117"/>
      <c r="U202" s="120"/>
      <c r="V202" s="118">
        <f t="shared" si="27"/>
        <v>6066560.6589831896</v>
      </c>
      <c r="W202" s="118">
        <f t="shared" si="27"/>
        <v>70523.767660679572</v>
      </c>
      <c r="X202" s="121">
        <f t="shared" si="21"/>
        <v>6066560.6589831896</v>
      </c>
      <c r="Y202" s="121">
        <f t="shared" si="21"/>
        <v>70523.767660679572</v>
      </c>
      <c r="Z202" s="121">
        <v>70523.77</v>
      </c>
      <c r="AA202" s="121"/>
      <c r="AB202" s="121">
        <f>Y202-Z202-AA202</f>
        <v>-2.3393204319290817E-3</v>
      </c>
      <c r="AC202" s="122">
        <v>0</v>
      </c>
      <c r="AD202" s="122">
        <f>AB202/J202/K202/9*M202</f>
        <v>-4.4718192247150901E-2</v>
      </c>
      <c r="AE202" s="122"/>
      <c r="AF202" s="123"/>
      <c r="AG202" s="124">
        <f t="shared" si="19"/>
        <v>-2.3393204319290817E-3</v>
      </c>
      <c r="AH202" s="125">
        <f>AB202/J202/K202/8*M202</f>
        <v>-5.0307966278044763E-2</v>
      </c>
      <c r="AI202" s="126"/>
    </row>
    <row r="203" spans="1:35" s="127" customFormat="1" ht="25.5">
      <c r="A203" s="110">
        <f t="shared" si="22"/>
        <v>192</v>
      </c>
      <c r="B203" s="111" t="s">
        <v>313</v>
      </c>
      <c r="C203" s="112" t="s">
        <v>314</v>
      </c>
      <c r="D203" s="111" t="s">
        <v>40</v>
      </c>
      <c r="E203" s="113"/>
      <c r="F203" s="111"/>
      <c r="G203" s="111"/>
      <c r="H203" s="114">
        <v>43497</v>
      </c>
      <c r="I203" s="115">
        <v>8000000</v>
      </c>
      <c r="J203" s="116">
        <v>7.7499999999999999E-2</v>
      </c>
      <c r="K203" s="117">
        <v>0.9</v>
      </c>
      <c r="L203" s="118">
        <v>10</v>
      </c>
      <c r="M203" s="117">
        <v>12</v>
      </c>
      <c r="N203" s="118">
        <f t="shared" si="23"/>
        <v>465000</v>
      </c>
      <c r="O203" s="118">
        <f t="shared" si="24"/>
        <v>4853248.5271865521</v>
      </c>
      <c r="P203" s="118">
        <f t="shared" si="25"/>
        <v>282095.07064271835</v>
      </c>
      <c r="Q203" s="118">
        <f t="shared" si="26"/>
        <v>182904.92935728165</v>
      </c>
      <c r="R203" s="119">
        <v>0.606656065898319</v>
      </c>
      <c r="S203" s="118"/>
      <c r="T203" s="117"/>
      <c r="U203" s="120"/>
      <c r="V203" s="118">
        <f t="shared" si="27"/>
        <v>4853248.5271865521</v>
      </c>
      <c r="W203" s="118">
        <f t="shared" si="27"/>
        <v>282095.07064271835</v>
      </c>
      <c r="X203" s="121">
        <f t="shared" si="21"/>
        <v>4853248.5271865521</v>
      </c>
      <c r="Y203" s="121">
        <f>SUM(W203)-56875.88</f>
        <v>225219.19064271834</v>
      </c>
      <c r="Z203" s="121">
        <f>464999.99-Z204-Z205</f>
        <v>225219.18999999994</v>
      </c>
      <c r="AA203" s="121"/>
      <c r="AB203" s="121">
        <f>Y203-Z203-AA203</f>
        <v>6.4271839801222086E-4</v>
      </c>
      <c r="AC203" s="122">
        <v>1.1854261159896851E-2</v>
      </c>
      <c r="AD203" s="122">
        <f>AB203/J203/K203/9*M203</f>
        <v>1.228613425112967E-2</v>
      </c>
      <c r="AE203" s="122"/>
      <c r="AF203" s="123"/>
      <c r="AG203" s="124">
        <f t="shared" si="19"/>
        <v>6.4271839801222086E-4</v>
      </c>
      <c r="AH203" s="154">
        <f>AB203/J203/K203/8*M203</f>
        <v>1.3821901032520879E-2</v>
      </c>
      <c r="AI203" s="126"/>
    </row>
    <row r="204" spans="1:35" s="127" customFormat="1" ht="25.5">
      <c r="A204" s="110">
        <f t="shared" si="22"/>
        <v>193</v>
      </c>
      <c r="B204" s="111" t="s">
        <v>313</v>
      </c>
      <c r="C204" s="112" t="s">
        <v>314</v>
      </c>
      <c r="D204" s="111" t="s">
        <v>80</v>
      </c>
      <c r="E204" s="113"/>
      <c r="F204" s="111"/>
      <c r="G204" s="111"/>
      <c r="H204" s="114">
        <v>43556</v>
      </c>
      <c r="I204" s="115">
        <v>6000000</v>
      </c>
      <c r="J204" s="116">
        <v>7.7499999999999999E-2</v>
      </c>
      <c r="K204" s="117">
        <v>0.9</v>
      </c>
      <c r="L204" s="118">
        <v>8</v>
      </c>
      <c r="M204" s="117">
        <v>12</v>
      </c>
      <c r="N204" s="118">
        <f t="shared" si="23"/>
        <v>279000</v>
      </c>
      <c r="O204" s="118">
        <f t="shared" si="24"/>
        <v>3639936.395389914</v>
      </c>
      <c r="P204" s="118">
        <f t="shared" si="25"/>
        <v>169257.04238563101</v>
      </c>
      <c r="Q204" s="118">
        <f t="shared" si="26"/>
        <v>109742.95761436899</v>
      </c>
      <c r="R204" s="119">
        <v>0.606656065898319</v>
      </c>
      <c r="S204" s="118"/>
      <c r="T204" s="117"/>
      <c r="U204" s="120"/>
      <c r="V204" s="118">
        <f t="shared" si="27"/>
        <v>3639936.395389914</v>
      </c>
      <c r="W204" s="118">
        <f t="shared" si="27"/>
        <v>169257.04238563101</v>
      </c>
      <c r="X204" s="121">
        <f t="shared" si="21"/>
        <v>3639936.395389914</v>
      </c>
      <c r="Y204" s="121">
        <f t="shared" si="21"/>
        <v>169257.04238563101</v>
      </c>
      <c r="Z204" s="121">
        <v>169257.04</v>
      </c>
      <c r="AA204" s="121"/>
      <c r="AB204" s="121">
        <f>Y204-Z204-AA204</f>
        <v>2.385630999924615E-3</v>
      </c>
      <c r="AC204" s="122">
        <v>0</v>
      </c>
      <c r="AD204" s="122">
        <f>AB204/J204/K204/9*M204</f>
        <v>4.5603459974664085E-2</v>
      </c>
      <c r="AE204" s="122"/>
      <c r="AF204" s="123"/>
      <c r="AG204" s="124">
        <f t="shared" ref="AG204:AG262" si="28">AB204+AF204</f>
        <v>2.385630999924615E-3</v>
      </c>
      <c r="AH204" s="154">
        <f>AB204/J204/K204/8*M204</f>
        <v>5.1303892471497095E-2</v>
      </c>
      <c r="AI204" s="126"/>
    </row>
    <row r="205" spans="1:35" s="127" customFormat="1" ht="25.5">
      <c r="A205" s="110">
        <f t="shared" si="22"/>
        <v>194</v>
      </c>
      <c r="B205" s="111" t="s">
        <v>313</v>
      </c>
      <c r="C205" s="112" t="s">
        <v>314</v>
      </c>
      <c r="D205" s="111" t="s">
        <v>80</v>
      </c>
      <c r="E205" s="113"/>
      <c r="F205" s="111"/>
      <c r="G205" s="111"/>
      <c r="H205" s="114">
        <v>43739</v>
      </c>
      <c r="I205" s="115">
        <v>10000000</v>
      </c>
      <c r="J205" s="116">
        <v>7.7499999999999999E-2</v>
      </c>
      <c r="K205" s="117">
        <v>0.9</v>
      </c>
      <c r="L205" s="118">
        <v>2</v>
      </c>
      <c r="M205" s="117">
        <v>12</v>
      </c>
      <c r="N205" s="118">
        <f t="shared" si="23"/>
        <v>116250</v>
      </c>
      <c r="O205" s="118">
        <f t="shared" si="24"/>
        <v>6066560.6589831896</v>
      </c>
      <c r="P205" s="118">
        <f t="shared" si="25"/>
        <v>70523.767660679572</v>
      </c>
      <c r="Q205" s="118">
        <f t="shared" si="26"/>
        <v>45726.232339320428</v>
      </c>
      <c r="R205" s="119">
        <v>0.606656065898319</v>
      </c>
      <c r="S205" s="118"/>
      <c r="T205" s="117"/>
      <c r="U205" s="120"/>
      <c r="V205" s="118">
        <f t="shared" si="27"/>
        <v>6066560.6589831896</v>
      </c>
      <c r="W205" s="118">
        <f t="shared" si="27"/>
        <v>70523.767660679572</v>
      </c>
      <c r="X205" s="121">
        <f t="shared" ref="X205:Y262" si="29">SUM(V205)</f>
        <v>6066560.6589831896</v>
      </c>
      <c r="Y205" s="121">
        <f t="shared" si="29"/>
        <v>70523.767660679572</v>
      </c>
      <c r="Z205" s="121">
        <v>70523.759999999995</v>
      </c>
      <c r="AA205" s="121"/>
      <c r="AB205" s="121">
        <f>Y205-Z205-AA205</f>
        <v>7.6606795773841441E-3</v>
      </c>
      <c r="AC205" s="122">
        <v>0</v>
      </c>
      <c r="AD205" s="122">
        <f>AB205/J205/K205/9*M205</f>
        <v>0.14644070876719989</v>
      </c>
      <c r="AE205" s="122"/>
      <c r="AF205" s="123"/>
      <c r="AG205" s="124">
        <f t="shared" si="28"/>
        <v>7.6606795773841441E-3</v>
      </c>
      <c r="AH205" s="154">
        <f>AB205/J205/K205/8*M205</f>
        <v>0.16474579736309988</v>
      </c>
      <c r="AI205" s="126"/>
    </row>
    <row r="206" spans="1:35" s="75" customFormat="1" ht="25.5">
      <c r="A206" s="62">
        <f t="shared" ref="A206:A262" si="30">A205+1</f>
        <v>195</v>
      </c>
      <c r="B206" s="63" t="s">
        <v>315</v>
      </c>
      <c r="C206" s="64" t="s">
        <v>316</v>
      </c>
      <c r="D206" s="63" t="s">
        <v>40</v>
      </c>
      <c r="E206" s="63" t="s">
        <v>41</v>
      </c>
      <c r="F206" s="63"/>
      <c r="G206" s="63"/>
      <c r="H206" s="65">
        <v>43525</v>
      </c>
      <c r="I206" s="66">
        <v>2000000</v>
      </c>
      <c r="J206" s="67">
        <v>7.7499999999999999E-2</v>
      </c>
      <c r="K206" s="68">
        <v>0.9</v>
      </c>
      <c r="L206" s="69">
        <v>9</v>
      </c>
      <c r="M206" s="68">
        <v>12</v>
      </c>
      <c r="N206" s="69">
        <f t="shared" ref="N206:N262" si="31">I206*J206*K206*L206/M206</f>
        <v>104625</v>
      </c>
      <c r="O206" s="69">
        <f t="shared" ref="O206:O262" si="32">I206*0.606656065898319</f>
        <v>1213312.131796638</v>
      </c>
      <c r="P206" s="69">
        <f t="shared" ref="P206:P262" si="33">O206*J206*K206*L206/M206</f>
        <v>63471.390894611628</v>
      </c>
      <c r="Q206" s="69">
        <f t="shared" ref="Q206:Q262" si="34">N206-P206</f>
        <v>41153.609105388372</v>
      </c>
      <c r="R206" s="70">
        <v>0.606656065898319</v>
      </c>
      <c r="S206" s="69"/>
      <c r="T206" s="68"/>
      <c r="U206" s="69"/>
      <c r="V206" s="69">
        <f t="shared" si="27"/>
        <v>1213312.131796638</v>
      </c>
      <c r="W206" s="69">
        <f t="shared" si="27"/>
        <v>63471.390894611628</v>
      </c>
      <c r="X206" s="71">
        <f t="shared" si="29"/>
        <v>1213312.131796638</v>
      </c>
      <c r="Y206" s="71">
        <f t="shared" si="29"/>
        <v>63471.390894611628</v>
      </c>
      <c r="Z206" s="71"/>
      <c r="AA206" s="71"/>
      <c r="AB206" s="71">
        <f>Y206-Z206-AA206-16971.39</f>
        <v>46500.000894611629</v>
      </c>
      <c r="AC206" s="72">
        <v>1091980.9186169743</v>
      </c>
      <c r="AD206" s="72">
        <f>AB206/J206/K206/9*M206</f>
        <v>888888.90599018638</v>
      </c>
      <c r="AE206" s="72">
        <v>46500</v>
      </c>
      <c r="AF206" s="73">
        <v>-16971.39</v>
      </c>
      <c r="AG206" s="73">
        <f t="shared" si="28"/>
        <v>29528.610894611629</v>
      </c>
      <c r="AH206" s="74">
        <f>AB206/J206/K206/8*M206</f>
        <v>1000000.0192389598</v>
      </c>
      <c r="AI206" s="93">
        <v>1000000</v>
      </c>
    </row>
    <row r="207" spans="1:35" s="155" customFormat="1" ht="25.5">
      <c r="A207" s="145">
        <f t="shared" si="30"/>
        <v>196</v>
      </c>
      <c r="B207" s="113" t="s">
        <v>317</v>
      </c>
      <c r="C207" s="146" t="s">
        <v>318</v>
      </c>
      <c r="D207" s="113" t="s">
        <v>40</v>
      </c>
      <c r="E207" s="113" t="s">
        <v>97</v>
      </c>
      <c r="F207" s="113"/>
      <c r="G207" s="113"/>
      <c r="H207" s="147">
        <v>43497</v>
      </c>
      <c r="I207" s="148">
        <v>8000000</v>
      </c>
      <c r="J207" s="149">
        <v>7.7499999999999999E-2</v>
      </c>
      <c r="K207" s="150">
        <v>0.9</v>
      </c>
      <c r="L207" s="120">
        <v>10</v>
      </c>
      <c r="M207" s="150">
        <v>12</v>
      </c>
      <c r="N207" s="120">
        <f t="shared" si="31"/>
        <v>465000</v>
      </c>
      <c r="O207" s="120">
        <f t="shared" si="32"/>
        <v>4853248.5271865521</v>
      </c>
      <c r="P207" s="120">
        <f t="shared" si="33"/>
        <v>282095.07064271835</v>
      </c>
      <c r="Q207" s="120">
        <f t="shared" si="34"/>
        <v>182904.92935728165</v>
      </c>
      <c r="R207" s="151">
        <v>0.606656065898319</v>
      </c>
      <c r="S207" s="120"/>
      <c r="T207" s="150"/>
      <c r="U207" s="120"/>
      <c r="V207" s="120">
        <f t="shared" si="27"/>
        <v>4853248.5271865521</v>
      </c>
      <c r="W207" s="120">
        <f t="shared" si="27"/>
        <v>282095.07064271835</v>
      </c>
      <c r="X207" s="152">
        <f t="shared" si="29"/>
        <v>4853248.5271865521</v>
      </c>
      <c r="Y207" s="152">
        <f t="shared" si="29"/>
        <v>282095.07064271835</v>
      </c>
      <c r="Z207" s="152">
        <v>282080.62</v>
      </c>
      <c r="AA207" s="152"/>
      <c r="AB207" s="152">
        <f>Y207-Z207-AA207</f>
        <v>14.450642718351446</v>
      </c>
      <c r="AC207" s="153">
        <v>248.52718655206263</v>
      </c>
      <c r="AD207" s="153">
        <f>AB207/J207/K207/9*M207</f>
        <v>276.23689784184364</v>
      </c>
      <c r="AE207" s="153"/>
      <c r="AF207" s="124"/>
      <c r="AG207" s="124">
        <f t="shared" si="28"/>
        <v>14.450642718351446</v>
      </c>
      <c r="AH207" s="154">
        <f>AB207/J207/K207/8*M207</f>
        <v>310.76651007207408</v>
      </c>
      <c r="AI207" s="154"/>
    </row>
    <row r="208" spans="1:35" s="127" customFormat="1" ht="89.25">
      <c r="A208" s="110">
        <f t="shared" si="30"/>
        <v>197</v>
      </c>
      <c r="B208" s="160" t="s">
        <v>319</v>
      </c>
      <c r="C208" s="161" t="s">
        <v>320</v>
      </c>
      <c r="D208" s="162" t="s">
        <v>321</v>
      </c>
      <c r="E208" s="163"/>
      <c r="F208" s="162"/>
      <c r="G208" s="162"/>
      <c r="H208" s="164">
        <v>43497</v>
      </c>
      <c r="I208" s="118">
        <v>0</v>
      </c>
      <c r="J208" s="116">
        <v>7.7499999999999999E-2</v>
      </c>
      <c r="K208" s="117">
        <v>0.9</v>
      </c>
      <c r="L208" s="118">
        <v>10</v>
      </c>
      <c r="M208" s="117">
        <v>12</v>
      </c>
      <c r="N208" s="118">
        <f t="shared" si="31"/>
        <v>0</v>
      </c>
      <c r="O208" s="118">
        <f t="shared" si="32"/>
        <v>0</v>
      </c>
      <c r="P208" s="118">
        <f t="shared" si="33"/>
        <v>0</v>
      </c>
      <c r="Q208" s="118">
        <f t="shared" si="34"/>
        <v>0</v>
      </c>
      <c r="R208" s="119">
        <v>0.606656065898319</v>
      </c>
      <c r="S208" s="143">
        <v>5000000</v>
      </c>
      <c r="T208" s="142">
        <v>290625</v>
      </c>
      <c r="U208" s="120">
        <v>176309.42</v>
      </c>
      <c r="V208" s="118">
        <f t="shared" si="27"/>
        <v>-5000000</v>
      </c>
      <c r="W208" s="118">
        <f t="shared" si="27"/>
        <v>-290625</v>
      </c>
      <c r="X208" s="121">
        <f t="shared" si="29"/>
        <v>-5000000</v>
      </c>
      <c r="Y208" s="121">
        <f t="shared" si="29"/>
        <v>-290625</v>
      </c>
      <c r="Z208" s="121"/>
      <c r="AA208" s="121"/>
      <c r="AB208" s="121">
        <f>Y208-Z208-AA208</f>
        <v>-290625</v>
      </c>
      <c r="AC208" s="122">
        <v>-5000000</v>
      </c>
      <c r="AD208" s="122">
        <f>AB208/J208/K208/9*M208</f>
        <v>-5555555.555555555</v>
      </c>
      <c r="AE208" s="122"/>
      <c r="AF208" s="123"/>
      <c r="AG208" s="124">
        <f t="shared" si="28"/>
        <v>-290625</v>
      </c>
      <c r="AH208" s="125">
        <f>AB208/J208/K208/8*M208</f>
        <v>-6250000</v>
      </c>
      <c r="AI208" s="126"/>
    </row>
    <row r="209" spans="1:35" s="127" customFormat="1" ht="25.5">
      <c r="A209" s="110">
        <f t="shared" si="30"/>
        <v>198</v>
      </c>
      <c r="B209" s="111" t="s">
        <v>322</v>
      </c>
      <c r="C209" s="112" t="s">
        <v>323</v>
      </c>
      <c r="D209" s="111" t="s">
        <v>40</v>
      </c>
      <c r="E209" s="113"/>
      <c r="F209" s="111"/>
      <c r="G209" s="111"/>
      <c r="H209" s="114">
        <v>43497</v>
      </c>
      <c r="I209" s="115">
        <v>15000000</v>
      </c>
      <c r="J209" s="116">
        <v>7.7499999999999999E-2</v>
      </c>
      <c r="K209" s="117">
        <v>0.9</v>
      </c>
      <c r="L209" s="118">
        <v>10</v>
      </c>
      <c r="M209" s="117">
        <v>12</v>
      </c>
      <c r="N209" s="118">
        <f t="shared" si="31"/>
        <v>871875</v>
      </c>
      <c r="O209" s="118">
        <f t="shared" si="32"/>
        <v>9099840.9884747844</v>
      </c>
      <c r="P209" s="118">
        <f t="shared" si="33"/>
        <v>528928.25745509693</v>
      </c>
      <c r="Q209" s="118">
        <f t="shared" si="34"/>
        <v>342946.74254490307</v>
      </c>
      <c r="R209" s="119">
        <v>0.606656065898319</v>
      </c>
      <c r="S209" s="118"/>
      <c r="T209" s="117"/>
      <c r="U209" s="120"/>
      <c r="V209" s="118">
        <f t="shared" si="27"/>
        <v>9099840.9884747844</v>
      </c>
      <c r="W209" s="118">
        <f t="shared" si="27"/>
        <v>528928.25745509693</v>
      </c>
      <c r="X209" s="121">
        <f t="shared" si="29"/>
        <v>9099840.9884747844</v>
      </c>
      <c r="Y209" s="121">
        <f>SUM(W209)-80195.87</f>
        <v>448732.38745509693</v>
      </c>
      <c r="Z209" s="121">
        <f>871874.99-Z210</f>
        <v>448732.39</v>
      </c>
      <c r="AA209" s="121"/>
      <c r="AB209" s="121">
        <f>Y209-Z209-AA209</f>
        <v>-2.5449030799791217E-3</v>
      </c>
      <c r="AC209" s="122">
        <v>5.8824505656957626E-2</v>
      </c>
      <c r="AD209" s="122">
        <f>AB209/J209/K209/9*M209</f>
        <v>-4.8648087550377472E-2</v>
      </c>
      <c r="AE209" s="122"/>
      <c r="AF209" s="123"/>
      <c r="AG209" s="124">
        <f t="shared" si="28"/>
        <v>-2.5449030799791217E-3</v>
      </c>
      <c r="AH209" s="125">
        <f>AB209/J209/K209/8*M209</f>
        <v>-5.4729098494174656E-2</v>
      </c>
      <c r="AI209" s="126"/>
    </row>
    <row r="210" spans="1:35" s="127" customFormat="1" ht="25.5">
      <c r="A210" s="110">
        <f t="shared" si="30"/>
        <v>199</v>
      </c>
      <c r="B210" s="111" t="s">
        <v>322</v>
      </c>
      <c r="C210" s="112" t="s">
        <v>324</v>
      </c>
      <c r="D210" s="111" t="s">
        <v>73</v>
      </c>
      <c r="E210" s="113"/>
      <c r="F210" s="111"/>
      <c r="G210" s="111"/>
      <c r="H210" s="114">
        <v>43556</v>
      </c>
      <c r="I210" s="115">
        <v>15000000</v>
      </c>
      <c r="J210" s="116">
        <v>7.7499999999999999E-2</v>
      </c>
      <c r="K210" s="117">
        <v>0.9</v>
      </c>
      <c r="L210" s="118">
        <v>8</v>
      </c>
      <c r="M210" s="117">
        <v>12</v>
      </c>
      <c r="N210" s="118">
        <f t="shared" si="31"/>
        <v>697500</v>
      </c>
      <c r="O210" s="118">
        <f t="shared" si="32"/>
        <v>9099840.9884747844</v>
      </c>
      <c r="P210" s="118">
        <f t="shared" si="33"/>
        <v>423142.60596407746</v>
      </c>
      <c r="Q210" s="118">
        <f t="shared" si="34"/>
        <v>274357.39403592254</v>
      </c>
      <c r="R210" s="119">
        <v>0.606656065898319</v>
      </c>
      <c r="S210" s="118"/>
      <c r="T210" s="117"/>
      <c r="U210" s="120"/>
      <c r="V210" s="118">
        <f t="shared" si="27"/>
        <v>9099840.9884747844</v>
      </c>
      <c r="W210" s="118">
        <f t="shared" si="27"/>
        <v>423142.60596407746</v>
      </c>
      <c r="X210" s="121">
        <f t="shared" si="29"/>
        <v>9099840.9884747844</v>
      </c>
      <c r="Y210" s="121">
        <f t="shared" si="29"/>
        <v>423142.60596407746</v>
      </c>
      <c r="Z210" s="121">
        <v>423142.6</v>
      </c>
      <c r="AA210" s="121"/>
      <c r="AB210" s="121">
        <f>Y210-Z210-AA210</f>
        <v>5.9640774852596223E-3</v>
      </c>
      <c r="AC210" s="122">
        <v>0</v>
      </c>
      <c r="AD210" s="122">
        <f>AB210/J210/K210/9*M210</f>
        <v>0.11400864965848742</v>
      </c>
      <c r="AE210" s="122"/>
      <c r="AF210" s="123"/>
      <c r="AG210" s="124">
        <f t="shared" si="28"/>
        <v>5.9640774852596223E-3</v>
      </c>
      <c r="AH210" s="154">
        <f>AB210/J210/K210/8*M210</f>
        <v>0.12825973086579834</v>
      </c>
      <c r="AI210" s="126"/>
    </row>
    <row r="211" spans="1:35" s="89" customFormat="1" ht="25.5">
      <c r="A211" s="76">
        <f t="shared" si="30"/>
        <v>200</v>
      </c>
      <c r="B211" s="77" t="s">
        <v>325</v>
      </c>
      <c r="C211" s="78" t="s">
        <v>326</v>
      </c>
      <c r="D211" s="77" t="s">
        <v>40</v>
      </c>
      <c r="E211" s="63" t="s">
        <v>41</v>
      </c>
      <c r="F211" s="77"/>
      <c r="G211" s="77"/>
      <c r="H211" s="79">
        <v>43525</v>
      </c>
      <c r="I211" s="80">
        <v>3000000</v>
      </c>
      <c r="J211" s="81">
        <v>7.7499999999999999E-2</v>
      </c>
      <c r="K211" s="82">
        <v>0.9</v>
      </c>
      <c r="L211" s="83">
        <v>9</v>
      </c>
      <c r="M211" s="82">
        <v>12</v>
      </c>
      <c r="N211" s="83">
        <f t="shared" si="31"/>
        <v>156937.5</v>
      </c>
      <c r="O211" s="83">
        <f t="shared" si="32"/>
        <v>1819968.197694957</v>
      </c>
      <c r="P211" s="83">
        <f t="shared" si="33"/>
        <v>95207.086341917442</v>
      </c>
      <c r="Q211" s="83">
        <f t="shared" si="34"/>
        <v>61730.413658082558</v>
      </c>
      <c r="R211" s="84">
        <v>0.606656065898319</v>
      </c>
      <c r="S211" s="83"/>
      <c r="T211" s="82"/>
      <c r="U211" s="69"/>
      <c r="V211" s="83">
        <f t="shared" si="27"/>
        <v>1819968.197694957</v>
      </c>
      <c r="W211" s="83">
        <f t="shared" si="27"/>
        <v>95207.086341917442</v>
      </c>
      <c r="X211" s="85">
        <f t="shared" si="29"/>
        <v>1819968.197694957</v>
      </c>
      <c r="Y211" s="85">
        <f t="shared" si="29"/>
        <v>95207.086341917442</v>
      </c>
      <c r="Z211" s="85">
        <v>93216.58</v>
      </c>
      <c r="AA211" s="85"/>
      <c r="AB211" s="85">
        <f>Y211-Z211-AA211</f>
        <v>1990.5063419174403</v>
      </c>
      <c r="AC211" s="86">
        <v>-362028.62207453861</v>
      </c>
      <c r="AD211" s="86">
        <f>AB211/J211/K211/9*M211</f>
        <v>38050.300442866246</v>
      </c>
      <c r="AE211" s="86"/>
      <c r="AF211" s="87"/>
      <c r="AG211" s="73">
        <f t="shared" si="28"/>
        <v>1990.5063419174403</v>
      </c>
      <c r="AH211" s="74">
        <f>AB211/J211/K211/8*M211</f>
        <v>42806.587998224524</v>
      </c>
      <c r="AI211" s="88"/>
    </row>
    <row r="212" spans="1:35" s="155" customFormat="1" ht="25.5">
      <c r="A212" s="145">
        <f t="shared" si="30"/>
        <v>201</v>
      </c>
      <c r="B212" s="113" t="s">
        <v>327</v>
      </c>
      <c r="C212" s="146" t="s">
        <v>328</v>
      </c>
      <c r="D212" s="113" t="s">
        <v>40</v>
      </c>
      <c r="E212" s="113" t="s">
        <v>41</v>
      </c>
      <c r="F212" s="113"/>
      <c r="G212" s="113"/>
      <c r="H212" s="147">
        <v>43525</v>
      </c>
      <c r="I212" s="148">
        <v>800000</v>
      </c>
      <c r="J212" s="149">
        <v>7.7499999999999999E-2</v>
      </c>
      <c r="K212" s="150">
        <v>0.9</v>
      </c>
      <c r="L212" s="120">
        <v>9</v>
      </c>
      <c r="M212" s="150">
        <v>12</v>
      </c>
      <c r="N212" s="120">
        <f t="shared" si="31"/>
        <v>41850</v>
      </c>
      <c r="O212" s="120">
        <f t="shared" si="32"/>
        <v>485324.85271865519</v>
      </c>
      <c r="P212" s="120">
        <f t="shared" si="33"/>
        <v>25388.556357844649</v>
      </c>
      <c r="Q212" s="120">
        <f t="shared" si="34"/>
        <v>16461.443642155351</v>
      </c>
      <c r="R212" s="151">
        <v>0.606656065898319</v>
      </c>
      <c r="S212" s="120"/>
      <c r="T212" s="150"/>
      <c r="U212" s="120"/>
      <c r="V212" s="120">
        <f t="shared" si="27"/>
        <v>485324.85271865519</v>
      </c>
      <c r="W212" s="120">
        <f t="shared" si="27"/>
        <v>25388.556357844649</v>
      </c>
      <c r="X212" s="152">
        <f t="shared" si="29"/>
        <v>485324.85271865519</v>
      </c>
      <c r="Y212" s="152">
        <f t="shared" si="29"/>
        <v>25388.556357844649</v>
      </c>
      <c r="Z212" s="152"/>
      <c r="AA212" s="152"/>
      <c r="AB212" s="152">
        <f>Y212-Z212-AA212-25388.56</f>
        <v>-3.6421553522814065E-3</v>
      </c>
      <c r="AC212" s="153">
        <v>436792.36744678969</v>
      </c>
      <c r="AD212" s="153">
        <f>AB212/J212/K212/9*M212</f>
        <v>-6.9623041381723413E-2</v>
      </c>
      <c r="AE212" s="153"/>
      <c r="AF212" s="124">
        <v>-25388.560000000001</v>
      </c>
      <c r="AG212" s="124">
        <f t="shared" si="28"/>
        <v>-25388.563642155354</v>
      </c>
      <c r="AH212" s="154">
        <f>AB212/J212/K212/8*M212</f>
        <v>-7.8325921554438849E-2</v>
      </c>
      <c r="AI212" s="154"/>
    </row>
    <row r="213" spans="1:35" s="155" customFormat="1" ht="25.5">
      <c r="A213" s="145">
        <f t="shared" si="30"/>
        <v>202</v>
      </c>
      <c r="B213" s="113" t="s">
        <v>329</v>
      </c>
      <c r="C213" s="146" t="s">
        <v>330</v>
      </c>
      <c r="D213" s="113" t="s">
        <v>40</v>
      </c>
      <c r="E213" s="113" t="s">
        <v>41</v>
      </c>
      <c r="F213" s="113"/>
      <c r="G213" s="113"/>
      <c r="H213" s="147">
        <v>43525</v>
      </c>
      <c r="I213" s="148">
        <v>1000000</v>
      </c>
      <c r="J213" s="149">
        <v>7.7499999999999999E-2</v>
      </c>
      <c r="K213" s="150">
        <v>0.9</v>
      </c>
      <c r="L213" s="120">
        <v>9</v>
      </c>
      <c r="M213" s="150">
        <v>12</v>
      </c>
      <c r="N213" s="120">
        <f t="shared" si="31"/>
        <v>52312.5</v>
      </c>
      <c r="O213" s="120">
        <f t="shared" si="32"/>
        <v>606656.06589831901</v>
      </c>
      <c r="P213" s="120">
        <f t="shared" si="33"/>
        <v>31735.695447305814</v>
      </c>
      <c r="Q213" s="120">
        <f t="shared" si="34"/>
        <v>20576.804552694186</v>
      </c>
      <c r="R213" s="151">
        <v>0.606656065898319</v>
      </c>
      <c r="S213" s="120"/>
      <c r="T213" s="150"/>
      <c r="U213" s="120"/>
      <c r="V213" s="120">
        <f t="shared" si="27"/>
        <v>606656.06589831901</v>
      </c>
      <c r="W213" s="120">
        <f t="shared" si="27"/>
        <v>31735.695447305814</v>
      </c>
      <c r="X213" s="152">
        <f t="shared" si="29"/>
        <v>606656.06589831901</v>
      </c>
      <c r="Y213" s="152">
        <f t="shared" si="29"/>
        <v>31735.695447305814</v>
      </c>
      <c r="Z213" s="152"/>
      <c r="AA213" s="152"/>
      <c r="AB213" s="152">
        <f>Y213-Z213-AA213-31735.7</f>
        <v>-4.5526941867137793E-3</v>
      </c>
      <c r="AC213" s="153">
        <v>545990.45930848713</v>
      </c>
      <c r="AD213" s="153">
        <f>AB213/J213/K213/9*M213</f>
        <v>-8.702880165761108E-2</v>
      </c>
      <c r="AE213" s="153"/>
      <c r="AF213" s="124">
        <v>-31735.7</v>
      </c>
      <c r="AG213" s="124">
        <f t="shared" si="28"/>
        <v>-31735.704552694187</v>
      </c>
      <c r="AH213" s="154">
        <f>AB213/J213/K213/8*M213</f>
        <v>-9.7907401864812477E-2</v>
      </c>
      <c r="AI213" s="154"/>
    </row>
    <row r="214" spans="1:35" s="75" customFormat="1" ht="25.5">
      <c r="A214" s="62">
        <f t="shared" si="30"/>
        <v>203</v>
      </c>
      <c r="B214" s="63" t="s">
        <v>331</v>
      </c>
      <c r="C214" s="64" t="s">
        <v>332</v>
      </c>
      <c r="D214" s="63" t="s">
        <v>40</v>
      </c>
      <c r="E214" s="63" t="s">
        <v>41</v>
      </c>
      <c r="F214" s="63"/>
      <c r="G214" s="63"/>
      <c r="H214" s="65">
        <v>43497</v>
      </c>
      <c r="I214" s="66">
        <v>1000000</v>
      </c>
      <c r="J214" s="67">
        <v>7.7499999999999999E-2</v>
      </c>
      <c r="K214" s="68">
        <v>0.9</v>
      </c>
      <c r="L214" s="69">
        <v>10</v>
      </c>
      <c r="M214" s="68">
        <v>12</v>
      </c>
      <c r="N214" s="69">
        <f t="shared" si="31"/>
        <v>58125</v>
      </c>
      <c r="O214" s="69">
        <f t="shared" si="32"/>
        <v>606656.06589831901</v>
      </c>
      <c r="P214" s="69">
        <f t="shared" si="33"/>
        <v>35261.883830339793</v>
      </c>
      <c r="Q214" s="69">
        <f t="shared" si="34"/>
        <v>22863.116169660207</v>
      </c>
      <c r="R214" s="70">
        <v>0.606656065898319</v>
      </c>
      <c r="S214" s="69"/>
      <c r="T214" s="68"/>
      <c r="U214" s="69"/>
      <c r="V214" s="69">
        <f t="shared" si="27"/>
        <v>606656.06589831901</v>
      </c>
      <c r="W214" s="69">
        <f t="shared" si="27"/>
        <v>35261.883830339793</v>
      </c>
      <c r="X214" s="71">
        <f t="shared" si="29"/>
        <v>606656.06589831901</v>
      </c>
      <c r="Y214" s="71">
        <f t="shared" si="29"/>
        <v>35261.883830339793</v>
      </c>
      <c r="Z214" s="71"/>
      <c r="AA214" s="71"/>
      <c r="AB214" s="71">
        <f>Y214-Z214-AA214-7082.88</f>
        <v>28179.003830339792</v>
      </c>
      <c r="AC214" s="72">
        <v>606656.06589831901</v>
      </c>
      <c r="AD214" s="72">
        <f>AB214/J214/K214/9*M214</f>
        <v>538666.73988702102</v>
      </c>
      <c r="AE214" s="72">
        <v>28179</v>
      </c>
      <c r="AF214" s="73">
        <v>-7082.88</v>
      </c>
      <c r="AG214" s="73">
        <f t="shared" si="28"/>
        <v>21096.123830339791</v>
      </c>
      <c r="AH214" s="74">
        <f>AB214/J214/K214/8*M214</f>
        <v>606000.0823728987</v>
      </c>
      <c r="AI214" s="93">
        <v>606000</v>
      </c>
    </row>
    <row r="215" spans="1:35" s="155" customFormat="1" ht="25.5">
      <c r="A215" s="145">
        <f t="shared" si="30"/>
        <v>204</v>
      </c>
      <c r="B215" s="113" t="s">
        <v>333</v>
      </c>
      <c r="C215" s="146" t="s">
        <v>334</v>
      </c>
      <c r="D215" s="113" t="s">
        <v>40</v>
      </c>
      <c r="E215" s="113" t="s">
        <v>41</v>
      </c>
      <c r="F215" s="113"/>
      <c r="G215" s="113"/>
      <c r="H215" s="147">
        <v>43525</v>
      </c>
      <c r="I215" s="148">
        <v>700000</v>
      </c>
      <c r="J215" s="149">
        <v>7.7499999999999999E-2</v>
      </c>
      <c r="K215" s="150">
        <v>0.9</v>
      </c>
      <c r="L215" s="120">
        <v>9</v>
      </c>
      <c r="M215" s="150">
        <v>12</v>
      </c>
      <c r="N215" s="120">
        <f t="shared" si="31"/>
        <v>36618.75</v>
      </c>
      <c r="O215" s="120">
        <f t="shared" si="32"/>
        <v>424659.24612882332</v>
      </c>
      <c r="P215" s="120">
        <f t="shared" si="33"/>
        <v>22214.986813114072</v>
      </c>
      <c r="Q215" s="120">
        <f t="shared" si="34"/>
        <v>14403.763186885928</v>
      </c>
      <c r="R215" s="151">
        <v>0.606656065898319</v>
      </c>
      <c r="S215" s="120"/>
      <c r="T215" s="150"/>
      <c r="U215" s="120"/>
      <c r="V215" s="120">
        <f t="shared" si="27"/>
        <v>424659.24612882332</v>
      </c>
      <c r="W215" s="120">
        <f t="shared" si="27"/>
        <v>22214.986813114072</v>
      </c>
      <c r="X215" s="152">
        <f t="shared" si="29"/>
        <v>424659.24612882332</v>
      </c>
      <c r="Y215" s="152">
        <f t="shared" si="29"/>
        <v>22214.986813114072</v>
      </c>
      <c r="Z215" s="152"/>
      <c r="AA215" s="152"/>
      <c r="AB215" s="152">
        <f>Y215-Z215-AA215-22214.99</f>
        <v>-3.1868859296082519E-3</v>
      </c>
      <c r="AC215" s="153">
        <v>382193.32151594106</v>
      </c>
      <c r="AD215" s="153">
        <f>AB215/J215/K215/9*M215</f>
        <v>-6.0920161139464794E-2</v>
      </c>
      <c r="AE215" s="153"/>
      <c r="AF215" s="124">
        <v>-22214.99</v>
      </c>
      <c r="AG215" s="124">
        <f t="shared" si="28"/>
        <v>-22214.993186885931</v>
      </c>
      <c r="AH215" s="154">
        <f>AB215/J215/K215/8*M215</f>
        <v>-6.8535181281897894E-2</v>
      </c>
      <c r="AI215" s="154"/>
    </row>
    <row r="216" spans="1:35" s="155" customFormat="1" ht="25.5">
      <c r="A216" s="145">
        <f t="shared" si="30"/>
        <v>205</v>
      </c>
      <c r="B216" s="113" t="s">
        <v>335</v>
      </c>
      <c r="C216" s="146" t="s">
        <v>336</v>
      </c>
      <c r="D216" s="113" t="s">
        <v>40</v>
      </c>
      <c r="E216" s="113" t="s">
        <v>41</v>
      </c>
      <c r="F216" s="113"/>
      <c r="G216" s="113"/>
      <c r="H216" s="147">
        <v>43525</v>
      </c>
      <c r="I216" s="148">
        <v>4000000</v>
      </c>
      <c r="J216" s="149">
        <v>7.7499999999999999E-2</v>
      </c>
      <c r="K216" s="150">
        <v>0.9</v>
      </c>
      <c r="L216" s="120">
        <v>9</v>
      </c>
      <c r="M216" s="150">
        <v>12</v>
      </c>
      <c r="N216" s="120">
        <f t="shared" si="31"/>
        <v>209250</v>
      </c>
      <c r="O216" s="120">
        <f t="shared" si="32"/>
        <v>2426624.263593276</v>
      </c>
      <c r="P216" s="120">
        <f t="shared" si="33"/>
        <v>126942.78178922326</v>
      </c>
      <c r="Q216" s="120">
        <f t="shared" si="34"/>
        <v>82307.218210776744</v>
      </c>
      <c r="R216" s="151">
        <v>0.606656065898319</v>
      </c>
      <c r="S216" s="120"/>
      <c r="T216" s="150"/>
      <c r="U216" s="120"/>
      <c r="V216" s="120">
        <f t="shared" si="27"/>
        <v>2426624.263593276</v>
      </c>
      <c r="W216" s="120">
        <f t="shared" si="27"/>
        <v>126942.78178922326</v>
      </c>
      <c r="X216" s="152">
        <f t="shared" si="29"/>
        <v>2426624.263593276</v>
      </c>
      <c r="Y216" s="152">
        <f t="shared" si="29"/>
        <v>126942.78178922326</v>
      </c>
      <c r="Z216" s="152"/>
      <c r="AA216" s="152"/>
      <c r="AB216" s="152">
        <f>Y216-Z216-AA216-126942.78</f>
        <v>1.7892232572194189E-3</v>
      </c>
      <c r="AC216" s="153">
        <v>2183961.8372339485</v>
      </c>
      <c r="AD216" s="153">
        <f>AB216/J216/K216/9*M216</f>
        <v>3.4202595120084466E-2</v>
      </c>
      <c r="AE216" s="153"/>
      <c r="AF216" s="124">
        <v>-126942.78</v>
      </c>
      <c r="AG216" s="124">
        <f t="shared" si="28"/>
        <v>-126942.77821077674</v>
      </c>
      <c r="AH216" s="154">
        <f>AB216/J216/K216/8*M216</f>
        <v>3.8477919510095028E-2</v>
      </c>
      <c r="AI216" s="154"/>
    </row>
    <row r="217" spans="1:35" s="127" customFormat="1" ht="25.5">
      <c r="A217" s="110">
        <f t="shared" si="30"/>
        <v>206</v>
      </c>
      <c r="B217" s="111" t="s">
        <v>337</v>
      </c>
      <c r="C217" s="112" t="s">
        <v>338</v>
      </c>
      <c r="D217" s="111" t="s">
        <v>40</v>
      </c>
      <c r="E217" s="113"/>
      <c r="F217" s="111"/>
      <c r="G217" s="111"/>
      <c r="H217" s="114">
        <v>43497</v>
      </c>
      <c r="I217" s="115">
        <v>4000000</v>
      </c>
      <c r="J217" s="116">
        <v>7.7499999999999999E-2</v>
      </c>
      <c r="K217" s="117">
        <v>0.9</v>
      </c>
      <c r="L217" s="118">
        <v>10</v>
      </c>
      <c r="M217" s="117">
        <v>12</v>
      </c>
      <c r="N217" s="118">
        <f t="shared" si="31"/>
        <v>232500</v>
      </c>
      <c r="O217" s="118">
        <f t="shared" si="32"/>
        <v>2426624.263593276</v>
      </c>
      <c r="P217" s="118">
        <f t="shared" si="33"/>
        <v>141047.53532135917</v>
      </c>
      <c r="Q217" s="118">
        <f t="shared" si="34"/>
        <v>91452.464678640827</v>
      </c>
      <c r="R217" s="119">
        <v>0.606656065898319</v>
      </c>
      <c r="S217" s="143">
        <v>4000000</v>
      </c>
      <c r="T217" s="142">
        <v>232500</v>
      </c>
      <c r="U217" s="120">
        <f>P217</f>
        <v>141047.53532135917</v>
      </c>
      <c r="V217" s="118">
        <f t="shared" si="27"/>
        <v>-1573375.736406724</v>
      </c>
      <c r="W217" s="118">
        <f t="shared" si="27"/>
        <v>-91452.464678640827</v>
      </c>
      <c r="X217" s="121">
        <f t="shared" si="29"/>
        <v>-1573375.736406724</v>
      </c>
      <c r="Y217" s="121">
        <f t="shared" si="29"/>
        <v>-91452.464678640827</v>
      </c>
      <c r="Z217" s="121"/>
      <c r="AA217" s="121"/>
      <c r="AB217" s="121">
        <f>Y217-Z217-AA217</f>
        <v>-91452.464678640827</v>
      </c>
      <c r="AC217" s="122">
        <v>-1573375.7364067237</v>
      </c>
      <c r="AD217" s="122">
        <f>AB217/J217/K217/9*M217</f>
        <v>-1748195.2626741375</v>
      </c>
      <c r="AE217" s="122"/>
      <c r="AF217" s="123"/>
      <c r="AG217" s="124">
        <f t="shared" si="28"/>
        <v>-91452.464678640827</v>
      </c>
      <c r="AH217" s="125">
        <f>AB217/J217/K217/8*M217</f>
        <v>-1966719.6705084047</v>
      </c>
      <c r="AI217" s="126"/>
    </row>
    <row r="218" spans="1:35" s="127" customFormat="1" ht="38.25">
      <c r="A218" s="110">
        <f t="shared" si="30"/>
        <v>207</v>
      </c>
      <c r="B218" s="111" t="s">
        <v>339</v>
      </c>
      <c r="C218" s="112" t="s">
        <v>340</v>
      </c>
      <c r="D218" s="111" t="s">
        <v>40</v>
      </c>
      <c r="E218" s="113" t="s">
        <v>41</v>
      </c>
      <c r="F218" s="111"/>
      <c r="G218" s="111"/>
      <c r="H218" s="114">
        <v>43525</v>
      </c>
      <c r="I218" s="115">
        <v>3000000</v>
      </c>
      <c r="J218" s="116">
        <v>7.7499999999999999E-2</v>
      </c>
      <c r="K218" s="117">
        <v>0.9</v>
      </c>
      <c r="L218" s="118">
        <v>9</v>
      </c>
      <c r="M218" s="117">
        <v>12</v>
      </c>
      <c r="N218" s="118">
        <f t="shared" si="31"/>
        <v>156937.5</v>
      </c>
      <c r="O218" s="118">
        <f t="shared" si="32"/>
        <v>1819968.197694957</v>
      </c>
      <c r="P218" s="118">
        <f t="shared" si="33"/>
        <v>95207.086341917442</v>
      </c>
      <c r="Q218" s="118">
        <f t="shared" si="34"/>
        <v>61730.413658082558</v>
      </c>
      <c r="R218" s="119">
        <v>0.606656065898319</v>
      </c>
      <c r="S218" s="118"/>
      <c r="T218" s="117"/>
      <c r="U218" s="120"/>
      <c r="V218" s="118">
        <f t="shared" si="27"/>
        <v>1819968.197694957</v>
      </c>
      <c r="W218" s="118">
        <f t="shared" si="27"/>
        <v>95207.086341917442</v>
      </c>
      <c r="X218" s="121">
        <f t="shared" si="29"/>
        <v>1819968.197694957</v>
      </c>
      <c r="Y218" s="121">
        <f t="shared" si="29"/>
        <v>95207.086341917442</v>
      </c>
      <c r="Z218" s="121">
        <v>94936.44</v>
      </c>
      <c r="AA218" s="121"/>
      <c r="AB218" s="121">
        <f>Y218-Z218-AA218</f>
        <v>270.64634191743971</v>
      </c>
      <c r="AC218" s="122">
        <v>-1162028.6220745386</v>
      </c>
      <c r="AD218" s="122">
        <f>AB218/J218/K218/9*M218</f>
        <v>5173.645723630867</v>
      </c>
      <c r="AE218" s="122"/>
      <c r="AF218" s="123"/>
      <c r="AG218" s="124">
        <f t="shared" si="28"/>
        <v>270.64634191743971</v>
      </c>
      <c r="AH218" s="154">
        <f>AB218/J218/K218/8*M218</f>
        <v>5820.3514390847249</v>
      </c>
      <c r="AI218" s="126"/>
    </row>
    <row r="219" spans="1:35" s="89" customFormat="1" ht="25.5">
      <c r="A219" s="76">
        <f t="shared" si="30"/>
        <v>208</v>
      </c>
      <c r="B219" s="77" t="s">
        <v>341</v>
      </c>
      <c r="C219" s="78" t="s">
        <v>342</v>
      </c>
      <c r="D219" s="77" t="s">
        <v>40</v>
      </c>
      <c r="E219" s="63" t="s">
        <v>41</v>
      </c>
      <c r="F219" s="77"/>
      <c r="G219" s="77"/>
      <c r="H219" s="79">
        <v>43497</v>
      </c>
      <c r="I219" s="80">
        <v>1000000</v>
      </c>
      <c r="J219" s="81">
        <v>7.7499999999999999E-2</v>
      </c>
      <c r="K219" s="82">
        <v>0.9</v>
      </c>
      <c r="L219" s="83">
        <v>10</v>
      </c>
      <c r="M219" s="82">
        <v>12</v>
      </c>
      <c r="N219" s="83">
        <f t="shared" si="31"/>
        <v>58125</v>
      </c>
      <c r="O219" s="83">
        <f t="shared" si="32"/>
        <v>606656.06589831901</v>
      </c>
      <c r="P219" s="83">
        <f t="shared" si="33"/>
        <v>35261.883830339793</v>
      </c>
      <c r="Q219" s="83">
        <f t="shared" si="34"/>
        <v>22863.116169660207</v>
      </c>
      <c r="R219" s="84">
        <v>0.606656065898319</v>
      </c>
      <c r="S219" s="83"/>
      <c r="T219" s="82"/>
      <c r="U219" s="69"/>
      <c r="V219" s="83">
        <f t="shared" si="27"/>
        <v>606656.06589831901</v>
      </c>
      <c r="W219" s="83">
        <f t="shared" si="27"/>
        <v>35261.883830339793</v>
      </c>
      <c r="X219" s="85">
        <f t="shared" si="29"/>
        <v>606656.06589831901</v>
      </c>
      <c r="Y219" s="85">
        <f t="shared" si="29"/>
        <v>35261.883830339793</v>
      </c>
      <c r="Z219" s="85">
        <v>34259.67</v>
      </c>
      <c r="AA219" s="85"/>
      <c r="AB219" s="85">
        <f>Y219-Z219-AA219</f>
        <v>1002.2138303397951</v>
      </c>
      <c r="AC219" s="86">
        <v>-393343.93410168099</v>
      </c>
      <c r="AD219" s="86">
        <f>AB219/J219/K219/9*M219</f>
        <v>19158.209421071351</v>
      </c>
      <c r="AE219" s="86"/>
      <c r="AF219" s="87"/>
      <c r="AG219" s="73">
        <f t="shared" si="28"/>
        <v>1002.2138303397951</v>
      </c>
      <c r="AH219" s="74">
        <f>AB219/J219/K219/8*M219</f>
        <v>21552.985598705272</v>
      </c>
      <c r="AI219" s="88"/>
    </row>
    <row r="220" spans="1:35" s="155" customFormat="1" ht="25.5">
      <c r="A220" s="145">
        <f t="shared" si="30"/>
        <v>209</v>
      </c>
      <c r="B220" s="113" t="s">
        <v>343</v>
      </c>
      <c r="C220" s="146" t="s">
        <v>344</v>
      </c>
      <c r="D220" s="113" t="s">
        <v>73</v>
      </c>
      <c r="E220" s="113"/>
      <c r="F220" s="113"/>
      <c r="G220" s="113"/>
      <c r="H220" s="147">
        <v>43497</v>
      </c>
      <c r="I220" s="148"/>
      <c r="J220" s="149">
        <v>7.7499999999999999E-2</v>
      </c>
      <c r="K220" s="150">
        <v>0.9</v>
      </c>
      <c r="L220" s="120">
        <v>10</v>
      </c>
      <c r="M220" s="150">
        <v>12</v>
      </c>
      <c r="N220" s="120">
        <f t="shared" si="31"/>
        <v>0</v>
      </c>
      <c r="O220" s="120">
        <f t="shared" si="32"/>
        <v>0</v>
      </c>
      <c r="P220" s="120">
        <f t="shared" si="33"/>
        <v>0</v>
      </c>
      <c r="Q220" s="120">
        <f t="shared" si="34"/>
        <v>0</v>
      </c>
      <c r="R220" s="151">
        <v>0.606656065898319</v>
      </c>
      <c r="S220" s="120"/>
      <c r="T220" s="150"/>
      <c r="U220" s="120">
        <f t="shared" ref="U220:U229" si="35">P220</f>
        <v>0</v>
      </c>
      <c r="V220" s="120">
        <f t="shared" si="27"/>
        <v>0</v>
      </c>
      <c r="W220" s="120">
        <f t="shared" si="27"/>
        <v>0</v>
      </c>
      <c r="X220" s="152">
        <f t="shared" si="29"/>
        <v>0</v>
      </c>
      <c r="Y220" s="152">
        <f t="shared" si="29"/>
        <v>0</v>
      </c>
      <c r="Z220" s="152"/>
      <c r="AA220" s="152"/>
      <c r="AB220" s="152">
        <f>Y220-Z220-AA220</f>
        <v>0</v>
      </c>
      <c r="AC220" s="153">
        <v>0</v>
      </c>
      <c r="AD220" s="153">
        <f>AB220/J220/K220/9*M220</f>
        <v>0</v>
      </c>
      <c r="AE220" s="153"/>
      <c r="AF220" s="124"/>
      <c r="AG220" s="124">
        <f t="shared" si="28"/>
        <v>0</v>
      </c>
      <c r="AH220" s="154">
        <f>AB220/J220/K220/8*M220</f>
        <v>0</v>
      </c>
      <c r="AI220" s="154"/>
    </row>
    <row r="221" spans="1:35" s="155" customFormat="1" ht="25.5">
      <c r="A221" s="145">
        <f t="shared" si="30"/>
        <v>210</v>
      </c>
      <c r="B221" s="113" t="s">
        <v>343</v>
      </c>
      <c r="C221" s="146" t="s">
        <v>344</v>
      </c>
      <c r="D221" s="113" t="s">
        <v>73</v>
      </c>
      <c r="E221" s="113"/>
      <c r="F221" s="113"/>
      <c r="G221" s="113"/>
      <c r="H221" s="147">
        <v>43525</v>
      </c>
      <c r="I221" s="148"/>
      <c r="J221" s="149">
        <v>7.7499999999999999E-2</v>
      </c>
      <c r="K221" s="150">
        <v>0.9</v>
      </c>
      <c r="L221" s="120">
        <v>9</v>
      </c>
      <c r="M221" s="150">
        <v>12</v>
      </c>
      <c r="N221" s="120">
        <f t="shared" si="31"/>
        <v>0</v>
      </c>
      <c r="O221" s="120">
        <f t="shared" si="32"/>
        <v>0</v>
      </c>
      <c r="P221" s="120">
        <f t="shared" si="33"/>
        <v>0</v>
      </c>
      <c r="Q221" s="120">
        <f t="shared" si="34"/>
        <v>0</v>
      </c>
      <c r="R221" s="151">
        <v>0.606656065898319</v>
      </c>
      <c r="S221" s="120"/>
      <c r="T221" s="150"/>
      <c r="U221" s="120">
        <f t="shared" si="35"/>
        <v>0</v>
      </c>
      <c r="V221" s="120">
        <f t="shared" si="27"/>
        <v>0</v>
      </c>
      <c r="W221" s="120">
        <f t="shared" si="27"/>
        <v>0</v>
      </c>
      <c r="X221" s="152">
        <f t="shared" si="29"/>
        <v>0</v>
      </c>
      <c r="Y221" s="152">
        <f t="shared" si="29"/>
        <v>0</v>
      </c>
      <c r="Z221" s="152"/>
      <c r="AA221" s="152"/>
      <c r="AB221" s="152">
        <f>Y221-Z221-AA221</f>
        <v>0</v>
      </c>
      <c r="AC221" s="153">
        <v>0</v>
      </c>
      <c r="AD221" s="153">
        <f>AB221/J221/K221/9*M221</f>
        <v>0</v>
      </c>
      <c r="AE221" s="153"/>
      <c r="AF221" s="124"/>
      <c r="AG221" s="124">
        <f t="shared" si="28"/>
        <v>0</v>
      </c>
      <c r="AH221" s="154">
        <f>AB221/J221/K221/8*M221</f>
        <v>0</v>
      </c>
      <c r="AI221" s="154"/>
    </row>
    <row r="222" spans="1:35" s="155" customFormat="1" ht="25.5">
      <c r="A222" s="145">
        <f t="shared" si="30"/>
        <v>211</v>
      </c>
      <c r="B222" s="113" t="s">
        <v>343</v>
      </c>
      <c r="C222" s="146" t="s">
        <v>344</v>
      </c>
      <c r="D222" s="113" t="s">
        <v>73</v>
      </c>
      <c r="E222" s="113"/>
      <c r="F222" s="113"/>
      <c r="G222" s="113"/>
      <c r="H222" s="147">
        <v>43556</v>
      </c>
      <c r="I222" s="148"/>
      <c r="J222" s="149">
        <v>7.7499999999999999E-2</v>
      </c>
      <c r="K222" s="150">
        <v>0.9</v>
      </c>
      <c r="L222" s="120">
        <v>8</v>
      </c>
      <c r="M222" s="150">
        <v>12</v>
      </c>
      <c r="N222" s="120">
        <f t="shared" si="31"/>
        <v>0</v>
      </c>
      <c r="O222" s="120">
        <f t="shared" si="32"/>
        <v>0</v>
      </c>
      <c r="P222" s="120">
        <f t="shared" si="33"/>
        <v>0</v>
      </c>
      <c r="Q222" s="120">
        <f t="shared" si="34"/>
        <v>0</v>
      </c>
      <c r="R222" s="151">
        <v>0.606656065898319</v>
      </c>
      <c r="S222" s="120"/>
      <c r="T222" s="150"/>
      <c r="U222" s="120">
        <f t="shared" si="35"/>
        <v>0</v>
      </c>
      <c r="V222" s="120">
        <f t="shared" si="27"/>
        <v>0</v>
      </c>
      <c r="W222" s="120">
        <f t="shared" si="27"/>
        <v>0</v>
      </c>
      <c r="X222" s="152">
        <f t="shared" si="29"/>
        <v>0</v>
      </c>
      <c r="Y222" s="152">
        <f t="shared" si="29"/>
        <v>0</v>
      </c>
      <c r="Z222" s="152"/>
      <c r="AA222" s="152"/>
      <c r="AB222" s="152">
        <f>Y222-Z222-AA222</f>
        <v>0</v>
      </c>
      <c r="AC222" s="153">
        <v>0</v>
      </c>
      <c r="AD222" s="153">
        <f>AB222/J222/K222/9*M222</f>
        <v>0</v>
      </c>
      <c r="AE222" s="153"/>
      <c r="AF222" s="124"/>
      <c r="AG222" s="124">
        <f t="shared" si="28"/>
        <v>0</v>
      </c>
      <c r="AH222" s="154">
        <f>AB222/J222/K222/8*M222</f>
        <v>0</v>
      </c>
      <c r="AI222" s="154"/>
    </row>
    <row r="223" spans="1:35" s="155" customFormat="1" ht="25.5">
      <c r="A223" s="145">
        <f t="shared" si="30"/>
        <v>212</v>
      </c>
      <c r="B223" s="113" t="s">
        <v>343</v>
      </c>
      <c r="C223" s="146" t="s">
        <v>344</v>
      </c>
      <c r="D223" s="113" t="s">
        <v>73</v>
      </c>
      <c r="E223" s="113"/>
      <c r="F223" s="113"/>
      <c r="G223" s="113"/>
      <c r="H223" s="147">
        <v>43586</v>
      </c>
      <c r="I223" s="148"/>
      <c r="J223" s="149">
        <v>7.7499999999999999E-2</v>
      </c>
      <c r="K223" s="150">
        <v>0.9</v>
      </c>
      <c r="L223" s="120">
        <v>7</v>
      </c>
      <c r="M223" s="150">
        <v>12</v>
      </c>
      <c r="N223" s="120">
        <f t="shared" si="31"/>
        <v>0</v>
      </c>
      <c r="O223" s="120">
        <f t="shared" si="32"/>
        <v>0</v>
      </c>
      <c r="P223" s="120">
        <f t="shared" si="33"/>
        <v>0</v>
      </c>
      <c r="Q223" s="120">
        <f t="shared" si="34"/>
        <v>0</v>
      </c>
      <c r="R223" s="151">
        <v>0.606656065898319</v>
      </c>
      <c r="S223" s="120"/>
      <c r="T223" s="150"/>
      <c r="U223" s="120">
        <f t="shared" si="35"/>
        <v>0</v>
      </c>
      <c r="V223" s="120">
        <f t="shared" si="27"/>
        <v>0</v>
      </c>
      <c r="W223" s="120">
        <f t="shared" si="27"/>
        <v>0</v>
      </c>
      <c r="X223" s="152">
        <f t="shared" si="29"/>
        <v>0</v>
      </c>
      <c r="Y223" s="152">
        <f t="shared" si="29"/>
        <v>0</v>
      </c>
      <c r="Z223" s="152"/>
      <c r="AA223" s="152"/>
      <c r="AB223" s="152">
        <f>Y223-Z223-AA223</f>
        <v>0</v>
      </c>
      <c r="AC223" s="153">
        <v>0</v>
      </c>
      <c r="AD223" s="153">
        <f>AB223/J223/K223/9*M223</f>
        <v>0</v>
      </c>
      <c r="AE223" s="153"/>
      <c r="AF223" s="124"/>
      <c r="AG223" s="124">
        <f t="shared" si="28"/>
        <v>0</v>
      </c>
      <c r="AH223" s="154">
        <f>AB223/J223/K223/8*M223</f>
        <v>0</v>
      </c>
      <c r="AI223" s="154"/>
    </row>
    <row r="224" spans="1:35" s="155" customFormat="1" ht="25.5">
      <c r="A224" s="145">
        <f t="shared" si="30"/>
        <v>213</v>
      </c>
      <c r="B224" s="113" t="s">
        <v>343</v>
      </c>
      <c r="C224" s="146" t="s">
        <v>344</v>
      </c>
      <c r="D224" s="113" t="s">
        <v>73</v>
      </c>
      <c r="E224" s="113"/>
      <c r="F224" s="113"/>
      <c r="G224" s="113"/>
      <c r="H224" s="147">
        <v>43617</v>
      </c>
      <c r="I224" s="148"/>
      <c r="J224" s="149">
        <v>7.7499999999999999E-2</v>
      </c>
      <c r="K224" s="150">
        <v>0.9</v>
      </c>
      <c r="L224" s="120">
        <v>6</v>
      </c>
      <c r="M224" s="150">
        <v>12</v>
      </c>
      <c r="N224" s="120">
        <f t="shared" si="31"/>
        <v>0</v>
      </c>
      <c r="O224" s="120">
        <f t="shared" si="32"/>
        <v>0</v>
      </c>
      <c r="P224" s="120">
        <f t="shared" si="33"/>
        <v>0</v>
      </c>
      <c r="Q224" s="120">
        <f t="shared" si="34"/>
        <v>0</v>
      </c>
      <c r="R224" s="151">
        <v>0.606656065898319</v>
      </c>
      <c r="S224" s="120"/>
      <c r="T224" s="150"/>
      <c r="U224" s="120">
        <f t="shared" si="35"/>
        <v>0</v>
      </c>
      <c r="V224" s="120">
        <f t="shared" si="27"/>
        <v>0</v>
      </c>
      <c r="W224" s="120">
        <f t="shared" si="27"/>
        <v>0</v>
      </c>
      <c r="X224" s="152">
        <f t="shared" si="29"/>
        <v>0</v>
      </c>
      <c r="Y224" s="152">
        <f t="shared" si="29"/>
        <v>0</v>
      </c>
      <c r="Z224" s="152"/>
      <c r="AA224" s="152"/>
      <c r="AB224" s="152">
        <f>Y224-Z224-AA224</f>
        <v>0</v>
      </c>
      <c r="AC224" s="153">
        <v>0</v>
      </c>
      <c r="AD224" s="153">
        <f>AB224/J224/K224/9*M224</f>
        <v>0</v>
      </c>
      <c r="AE224" s="153"/>
      <c r="AF224" s="124"/>
      <c r="AG224" s="124">
        <f t="shared" si="28"/>
        <v>0</v>
      </c>
      <c r="AH224" s="154">
        <f>AB224/J224/K224/8*M224</f>
        <v>0</v>
      </c>
      <c r="AI224" s="154"/>
    </row>
    <row r="225" spans="1:35" s="155" customFormat="1" ht="25.5">
      <c r="A225" s="145">
        <f t="shared" si="30"/>
        <v>214</v>
      </c>
      <c r="B225" s="113" t="s">
        <v>343</v>
      </c>
      <c r="C225" s="146" t="s">
        <v>344</v>
      </c>
      <c r="D225" s="113" t="s">
        <v>73</v>
      </c>
      <c r="E225" s="113"/>
      <c r="F225" s="113"/>
      <c r="G225" s="113"/>
      <c r="H225" s="147">
        <v>43647</v>
      </c>
      <c r="I225" s="148"/>
      <c r="J225" s="149">
        <v>7.7499999999999999E-2</v>
      </c>
      <c r="K225" s="150">
        <v>0.9</v>
      </c>
      <c r="L225" s="120">
        <v>5</v>
      </c>
      <c r="M225" s="150">
        <v>12</v>
      </c>
      <c r="N225" s="120">
        <f t="shared" si="31"/>
        <v>0</v>
      </c>
      <c r="O225" s="120">
        <f t="shared" si="32"/>
        <v>0</v>
      </c>
      <c r="P225" s="120">
        <f t="shared" si="33"/>
        <v>0</v>
      </c>
      <c r="Q225" s="120">
        <f t="shared" si="34"/>
        <v>0</v>
      </c>
      <c r="R225" s="151">
        <v>0.606656065898319</v>
      </c>
      <c r="S225" s="120"/>
      <c r="T225" s="150"/>
      <c r="U225" s="120">
        <f t="shared" si="35"/>
        <v>0</v>
      </c>
      <c r="V225" s="120">
        <f t="shared" si="27"/>
        <v>0</v>
      </c>
      <c r="W225" s="120">
        <f t="shared" si="27"/>
        <v>0</v>
      </c>
      <c r="X225" s="152">
        <f t="shared" si="29"/>
        <v>0</v>
      </c>
      <c r="Y225" s="152">
        <f t="shared" si="29"/>
        <v>0</v>
      </c>
      <c r="Z225" s="152"/>
      <c r="AA225" s="152"/>
      <c r="AB225" s="152">
        <f>Y225-Z225-AA225</f>
        <v>0</v>
      </c>
      <c r="AC225" s="153">
        <v>0</v>
      </c>
      <c r="AD225" s="153">
        <f>AB225/J225/K225/9*M225</f>
        <v>0</v>
      </c>
      <c r="AE225" s="153"/>
      <c r="AF225" s="124"/>
      <c r="AG225" s="124">
        <f t="shared" si="28"/>
        <v>0</v>
      </c>
      <c r="AH225" s="154">
        <f>AB225/J225/K225/8*M225</f>
        <v>0</v>
      </c>
      <c r="AI225" s="154"/>
    </row>
    <row r="226" spans="1:35" s="155" customFormat="1" ht="25.5">
      <c r="A226" s="145">
        <f t="shared" si="30"/>
        <v>215</v>
      </c>
      <c r="B226" s="113" t="s">
        <v>343</v>
      </c>
      <c r="C226" s="146" t="s">
        <v>344</v>
      </c>
      <c r="D226" s="113" t="s">
        <v>73</v>
      </c>
      <c r="E226" s="113"/>
      <c r="F226" s="113"/>
      <c r="G226" s="113"/>
      <c r="H226" s="147">
        <v>43678</v>
      </c>
      <c r="I226" s="148"/>
      <c r="J226" s="149">
        <v>7.7499999999999999E-2</v>
      </c>
      <c r="K226" s="150">
        <v>0.9</v>
      </c>
      <c r="L226" s="120">
        <v>4</v>
      </c>
      <c r="M226" s="150">
        <v>12</v>
      </c>
      <c r="N226" s="120">
        <f t="shared" si="31"/>
        <v>0</v>
      </c>
      <c r="O226" s="120">
        <f t="shared" si="32"/>
        <v>0</v>
      </c>
      <c r="P226" s="120">
        <f t="shared" si="33"/>
        <v>0</v>
      </c>
      <c r="Q226" s="120">
        <f t="shared" si="34"/>
        <v>0</v>
      </c>
      <c r="R226" s="151">
        <v>0.606656065898319</v>
      </c>
      <c r="S226" s="120"/>
      <c r="T226" s="150"/>
      <c r="U226" s="120">
        <f t="shared" si="35"/>
        <v>0</v>
      </c>
      <c r="V226" s="120">
        <f t="shared" si="27"/>
        <v>0</v>
      </c>
      <c r="W226" s="120">
        <f t="shared" si="27"/>
        <v>0</v>
      </c>
      <c r="X226" s="152">
        <f t="shared" si="29"/>
        <v>0</v>
      </c>
      <c r="Y226" s="152">
        <f t="shared" si="29"/>
        <v>0</v>
      </c>
      <c r="Z226" s="152"/>
      <c r="AA226" s="152"/>
      <c r="AB226" s="152">
        <f>Y226-Z226-AA226</f>
        <v>0</v>
      </c>
      <c r="AC226" s="153">
        <v>0</v>
      </c>
      <c r="AD226" s="153">
        <f>AB226/J226/K226/9*M226</f>
        <v>0</v>
      </c>
      <c r="AE226" s="153"/>
      <c r="AF226" s="124"/>
      <c r="AG226" s="124">
        <f t="shared" si="28"/>
        <v>0</v>
      </c>
      <c r="AH226" s="154">
        <f>AB226/J226/K226/8*M226</f>
        <v>0</v>
      </c>
      <c r="AI226" s="154"/>
    </row>
    <row r="227" spans="1:35" s="155" customFormat="1" ht="25.5">
      <c r="A227" s="145">
        <f t="shared" si="30"/>
        <v>216</v>
      </c>
      <c r="B227" s="113" t="s">
        <v>343</v>
      </c>
      <c r="C227" s="146" t="s">
        <v>344</v>
      </c>
      <c r="D227" s="113" t="s">
        <v>73</v>
      </c>
      <c r="E227" s="113"/>
      <c r="F227" s="113"/>
      <c r="G227" s="113"/>
      <c r="H227" s="147">
        <v>43709</v>
      </c>
      <c r="I227" s="148"/>
      <c r="J227" s="149">
        <v>7.7499999999999999E-2</v>
      </c>
      <c r="K227" s="150">
        <v>0.9</v>
      </c>
      <c r="L227" s="120">
        <v>3</v>
      </c>
      <c r="M227" s="150">
        <v>12</v>
      </c>
      <c r="N227" s="120">
        <f t="shared" si="31"/>
        <v>0</v>
      </c>
      <c r="O227" s="120">
        <f t="shared" si="32"/>
        <v>0</v>
      </c>
      <c r="P227" s="120">
        <f t="shared" si="33"/>
        <v>0</v>
      </c>
      <c r="Q227" s="120">
        <f t="shared" si="34"/>
        <v>0</v>
      </c>
      <c r="R227" s="151">
        <v>0.606656065898319</v>
      </c>
      <c r="S227" s="120"/>
      <c r="T227" s="150"/>
      <c r="U227" s="120">
        <f t="shared" si="35"/>
        <v>0</v>
      </c>
      <c r="V227" s="120">
        <f t="shared" si="27"/>
        <v>0</v>
      </c>
      <c r="W227" s="120">
        <f t="shared" si="27"/>
        <v>0</v>
      </c>
      <c r="X227" s="152">
        <f t="shared" si="29"/>
        <v>0</v>
      </c>
      <c r="Y227" s="152">
        <f t="shared" si="29"/>
        <v>0</v>
      </c>
      <c r="Z227" s="152"/>
      <c r="AA227" s="152"/>
      <c r="AB227" s="152">
        <f>Y227-Z227-AA227</f>
        <v>0</v>
      </c>
      <c r="AC227" s="153">
        <v>0</v>
      </c>
      <c r="AD227" s="153">
        <f>AB227/J227/K227/9*M227</f>
        <v>0</v>
      </c>
      <c r="AE227" s="153"/>
      <c r="AF227" s="124"/>
      <c r="AG227" s="124">
        <f t="shared" si="28"/>
        <v>0</v>
      </c>
      <c r="AH227" s="154">
        <f>AB227/J227/K227/8*M227</f>
        <v>0</v>
      </c>
      <c r="AI227" s="154"/>
    </row>
    <row r="228" spans="1:35" s="155" customFormat="1" ht="25.5">
      <c r="A228" s="145">
        <f t="shared" si="30"/>
        <v>217</v>
      </c>
      <c r="B228" s="113" t="s">
        <v>343</v>
      </c>
      <c r="C228" s="146" t="s">
        <v>344</v>
      </c>
      <c r="D228" s="113" t="s">
        <v>73</v>
      </c>
      <c r="E228" s="113"/>
      <c r="F228" s="113"/>
      <c r="G228" s="113"/>
      <c r="H228" s="147">
        <v>43739</v>
      </c>
      <c r="I228" s="148"/>
      <c r="J228" s="149">
        <v>7.7499999999999999E-2</v>
      </c>
      <c r="K228" s="150">
        <v>0.9</v>
      </c>
      <c r="L228" s="120">
        <v>2</v>
      </c>
      <c r="M228" s="150">
        <v>12</v>
      </c>
      <c r="N228" s="120">
        <f t="shared" si="31"/>
        <v>0</v>
      </c>
      <c r="O228" s="120">
        <f t="shared" si="32"/>
        <v>0</v>
      </c>
      <c r="P228" s="120">
        <f t="shared" si="33"/>
        <v>0</v>
      </c>
      <c r="Q228" s="120">
        <f t="shared" si="34"/>
        <v>0</v>
      </c>
      <c r="R228" s="151">
        <v>0.606656065898319</v>
      </c>
      <c r="S228" s="120"/>
      <c r="T228" s="150"/>
      <c r="U228" s="120">
        <f t="shared" si="35"/>
        <v>0</v>
      </c>
      <c r="V228" s="120">
        <f t="shared" si="27"/>
        <v>0</v>
      </c>
      <c r="W228" s="120">
        <f t="shared" si="27"/>
        <v>0</v>
      </c>
      <c r="X228" s="152">
        <f t="shared" si="29"/>
        <v>0</v>
      </c>
      <c r="Y228" s="152">
        <f t="shared" si="29"/>
        <v>0</v>
      </c>
      <c r="Z228" s="152"/>
      <c r="AA228" s="152"/>
      <c r="AB228" s="152">
        <f>Y228-Z228-AA228</f>
        <v>0</v>
      </c>
      <c r="AC228" s="153">
        <v>0</v>
      </c>
      <c r="AD228" s="153">
        <f>AB228/J228/K228/9*M228</f>
        <v>0</v>
      </c>
      <c r="AE228" s="153"/>
      <c r="AF228" s="124"/>
      <c r="AG228" s="124">
        <f t="shared" si="28"/>
        <v>0</v>
      </c>
      <c r="AH228" s="154">
        <f>AB228/J228/K228/8*M228</f>
        <v>0</v>
      </c>
      <c r="AI228" s="154"/>
    </row>
    <row r="229" spans="1:35" s="155" customFormat="1" ht="25.5">
      <c r="A229" s="145">
        <f t="shared" si="30"/>
        <v>218</v>
      </c>
      <c r="B229" s="113" t="s">
        <v>343</v>
      </c>
      <c r="C229" s="146" t="s">
        <v>344</v>
      </c>
      <c r="D229" s="113" t="s">
        <v>73</v>
      </c>
      <c r="E229" s="113"/>
      <c r="F229" s="113"/>
      <c r="G229" s="113"/>
      <c r="H229" s="147">
        <v>43770</v>
      </c>
      <c r="I229" s="148"/>
      <c r="J229" s="149">
        <v>7.7499999999999999E-2</v>
      </c>
      <c r="K229" s="150">
        <v>0.9</v>
      </c>
      <c r="L229" s="120">
        <v>1</v>
      </c>
      <c r="M229" s="150">
        <v>12</v>
      </c>
      <c r="N229" s="120">
        <f t="shared" si="31"/>
        <v>0</v>
      </c>
      <c r="O229" s="120">
        <f t="shared" si="32"/>
        <v>0</v>
      </c>
      <c r="P229" s="120">
        <f t="shared" si="33"/>
        <v>0</v>
      </c>
      <c r="Q229" s="120">
        <f t="shared" si="34"/>
        <v>0</v>
      </c>
      <c r="R229" s="151">
        <v>0.606656065898319</v>
      </c>
      <c r="S229" s="120"/>
      <c r="T229" s="150"/>
      <c r="U229" s="120">
        <f t="shared" si="35"/>
        <v>0</v>
      </c>
      <c r="V229" s="120">
        <f t="shared" si="27"/>
        <v>0</v>
      </c>
      <c r="W229" s="120">
        <f t="shared" si="27"/>
        <v>0</v>
      </c>
      <c r="X229" s="152">
        <f t="shared" si="29"/>
        <v>0</v>
      </c>
      <c r="Y229" s="152">
        <f t="shared" si="29"/>
        <v>0</v>
      </c>
      <c r="Z229" s="152"/>
      <c r="AA229" s="152"/>
      <c r="AB229" s="152">
        <f>Y229-Z229-AA229</f>
        <v>0</v>
      </c>
      <c r="AC229" s="153">
        <v>0</v>
      </c>
      <c r="AD229" s="153">
        <f>AB229/J229/K229/9*M229</f>
        <v>0</v>
      </c>
      <c r="AE229" s="153"/>
      <c r="AF229" s="124"/>
      <c r="AG229" s="124">
        <f t="shared" si="28"/>
        <v>0</v>
      </c>
      <c r="AH229" s="154">
        <f>AB229/J229/K229/8*M229</f>
        <v>0</v>
      </c>
      <c r="AI229" s="154"/>
    </row>
    <row r="230" spans="1:35" s="155" customFormat="1" ht="25.5">
      <c r="A230" s="145">
        <f t="shared" si="30"/>
        <v>219</v>
      </c>
      <c r="B230" s="113" t="s">
        <v>343</v>
      </c>
      <c r="C230" s="146" t="s">
        <v>344</v>
      </c>
      <c r="D230" s="113" t="s">
        <v>73</v>
      </c>
      <c r="E230" s="113"/>
      <c r="F230" s="113"/>
      <c r="G230" s="113"/>
      <c r="H230" s="147">
        <v>43800</v>
      </c>
      <c r="I230" s="148"/>
      <c r="J230" s="149">
        <v>7.7499999999999999E-2</v>
      </c>
      <c r="K230" s="150">
        <v>0.9</v>
      </c>
      <c r="L230" s="120">
        <v>0</v>
      </c>
      <c r="M230" s="150">
        <v>12</v>
      </c>
      <c r="N230" s="120">
        <f t="shared" si="31"/>
        <v>0</v>
      </c>
      <c r="O230" s="120">
        <f t="shared" si="32"/>
        <v>0</v>
      </c>
      <c r="P230" s="120">
        <f t="shared" si="33"/>
        <v>0</v>
      </c>
      <c r="Q230" s="120">
        <f t="shared" si="34"/>
        <v>0</v>
      </c>
      <c r="R230" s="151">
        <v>0.606656065898319</v>
      </c>
      <c r="S230" s="120"/>
      <c r="T230" s="150"/>
      <c r="U230" s="120"/>
      <c r="V230" s="120">
        <f t="shared" si="27"/>
        <v>0</v>
      </c>
      <c r="W230" s="120">
        <f t="shared" si="27"/>
        <v>0</v>
      </c>
      <c r="X230" s="152">
        <f t="shared" si="29"/>
        <v>0</v>
      </c>
      <c r="Y230" s="152">
        <f t="shared" si="29"/>
        <v>0</v>
      </c>
      <c r="Z230" s="152"/>
      <c r="AA230" s="152"/>
      <c r="AB230" s="152">
        <f>Y230-Z230-AA230</f>
        <v>0</v>
      </c>
      <c r="AC230" s="153">
        <v>0</v>
      </c>
      <c r="AD230" s="153">
        <f>AB230/J230/K230/9*M230</f>
        <v>0</v>
      </c>
      <c r="AE230" s="153"/>
      <c r="AF230" s="124"/>
      <c r="AG230" s="124">
        <f t="shared" si="28"/>
        <v>0</v>
      </c>
      <c r="AH230" s="154">
        <f>AB230/J230/K230/8*M230</f>
        <v>0</v>
      </c>
      <c r="AI230" s="154"/>
    </row>
    <row r="231" spans="1:35" s="127" customFormat="1" ht="25.5">
      <c r="A231" s="110">
        <f t="shared" si="30"/>
        <v>220</v>
      </c>
      <c r="B231" s="111" t="s">
        <v>345</v>
      </c>
      <c r="C231" s="112" t="s">
        <v>346</v>
      </c>
      <c r="D231" s="111" t="s">
        <v>80</v>
      </c>
      <c r="E231" s="113" t="s">
        <v>97</v>
      </c>
      <c r="F231" s="111"/>
      <c r="G231" s="111"/>
      <c r="H231" s="114">
        <v>43497</v>
      </c>
      <c r="I231" s="115">
        <v>60000000</v>
      </c>
      <c r="J231" s="116">
        <v>7.7499999999999999E-2</v>
      </c>
      <c r="K231" s="117">
        <v>0.9</v>
      </c>
      <c r="L231" s="118">
        <v>10</v>
      </c>
      <c r="M231" s="117">
        <v>12</v>
      </c>
      <c r="N231" s="118">
        <f t="shared" si="31"/>
        <v>3487500</v>
      </c>
      <c r="O231" s="118">
        <f t="shared" si="32"/>
        <v>36399363.953899138</v>
      </c>
      <c r="P231" s="118">
        <f t="shared" si="33"/>
        <v>2115713.0298203877</v>
      </c>
      <c r="Q231" s="118">
        <f t="shared" si="34"/>
        <v>1371786.9701796123</v>
      </c>
      <c r="R231" s="119">
        <v>0.606656065898319</v>
      </c>
      <c r="S231" s="118"/>
      <c r="T231" s="117"/>
      <c r="U231" s="120"/>
      <c r="V231" s="118">
        <f t="shared" si="27"/>
        <v>36399363.953899138</v>
      </c>
      <c r="W231" s="118">
        <f t="shared" si="27"/>
        <v>2115713.0298203877</v>
      </c>
      <c r="X231" s="121">
        <f t="shared" si="29"/>
        <v>36399363.953899138</v>
      </c>
      <c r="Y231" s="121">
        <f>SUM(W231)-532354.75</f>
        <v>1583358.2798203877</v>
      </c>
      <c r="Z231" s="121">
        <f>3487499.99-Z232-Z233</f>
        <v>1583358.28</v>
      </c>
      <c r="AA231" s="121"/>
      <c r="AB231" s="121">
        <f>Y231-Z231-AA231</f>
        <v>-1.7961231060326099E-4</v>
      </c>
      <c r="AC231" s="122">
        <v>0.11455891281366348</v>
      </c>
      <c r="AD231" s="122">
        <f>AB231/J231/K231/9*M231</f>
        <v>-3.433449187159111E-3</v>
      </c>
      <c r="AE231" s="122"/>
      <c r="AF231" s="123"/>
      <c r="AG231" s="124">
        <f t="shared" si="28"/>
        <v>-1.7961231060326099E-4</v>
      </c>
      <c r="AH231" s="154">
        <f>AB231/J231/K231/8*M231</f>
        <v>-3.8626303355540001E-3</v>
      </c>
      <c r="AI231" s="126"/>
    </row>
    <row r="232" spans="1:35" s="127" customFormat="1" ht="25.5">
      <c r="A232" s="110">
        <f t="shared" si="30"/>
        <v>221</v>
      </c>
      <c r="B232" s="111" t="s">
        <v>345</v>
      </c>
      <c r="C232" s="112" t="s">
        <v>346</v>
      </c>
      <c r="D232" s="111" t="s">
        <v>80</v>
      </c>
      <c r="E232" s="113"/>
      <c r="F232" s="111"/>
      <c r="G232" s="111"/>
      <c r="H232" s="114">
        <v>43586</v>
      </c>
      <c r="I232" s="115">
        <v>60000000</v>
      </c>
      <c r="J232" s="116">
        <v>7.7499999999999999E-2</v>
      </c>
      <c r="K232" s="117">
        <v>0.9</v>
      </c>
      <c r="L232" s="118">
        <v>7</v>
      </c>
      <c r="M232" s="117">
        <v>12</v>
      </c>
      <c r="N232" s="118">
        <f t="shared" si="31"/>
        <v>2441250</v>
      </c>
      <c r="O232" s="118">
        <f t="shared" si="32"/>
        <v>36399363.953899138</v>
      </c>
      <c r="P232" s="118">
        <f t="shared" si="33"/>
        <v>1480999.120874271</v>
      </c>
      <c r="Q232" s="118">
        <f t="shared" si="34"/>
        <v>960250.87912572897</v>
      </c>
      <c r="R232" s="119">
        <v>0.606656065898319</v>
      </c>
      <c r="S232" s="118"/>
      <c r="T232" s="117"/>
      <c r="U232" s="120"/>
      <c r="V232" s="118">
        <f t="shared" si="27"/>
        <v>36399363.953899138</v>
      </c>
      <c r="W232" s="118">
        <f t="shared" si="27"/>
        <v>1480999.120874271</v>
      </c>
      <c r="X232" s="121">
        <f t="shared" si="29"/>
        <v>36399363.953899138</v>
      </c>
      <c r="Y232" s="121">
        <f t="shared" si="29"/>
        <v>1480999.120874271</v>
      </c>
      <c r="Z232" s="121">
        <v>1480999.12</v>
      </c>
      <c r="AA232" s="121"/>
      <c r="AB232" s="121">
        <f>Y232-Z232-AA232</f>
        <v>8.7427091784775257E-4</v>
      </c>
      <c r="AC232" s="122">
        <v>0</v>
      </c>
      <c r="AD232" s="122">
        <f>AB232/J232/K232/9*M232</f>
        <v>1.6712466768893718E-2</v>
      </c>
      <c r="AE232" s="122"/>
      <c r="AF232" s="123"/>
      <c r="AG232" s="124">
        <f t="shared" si="28"/>
        <v>8.7427091784775257E-4</v>
      </c>
      <c r="AH232" s="154">
        <f>AB232/J232/K232/8*M232</f>
        <v>1.8801525115005432E-2</v>
      </c>
      <c r="AI232" s="126"/>
    </row>
    <row r="233" spans="1:35" s="127" customFormat="1" ht="25.5">
      <c r="A233" s="110">
        <f t="shared" si="30"/>
        <v>222</v>
      </c>
      <c r="B233" s="111" t="s">
        <v>345</v>
      </c>
      <c r="C233" s="112" t="s">
        <v>346</v>
      </c>
      <c r="D233" s="111" t="s">
        <v>80</v>
      </c>
      <c r="E233" s="113"/>
      <c r="F233" s="111"/>
      <c r="G233" s="111"/>
      <c r="H233" s="114">
        <v>43739</v>
      </c>
      <c r="I233" s="115">
        <v>60000000</v>
      </c>
      <c r="J233" s="116">
        <v>7.7499999999999999E-2</v>
      </c>
      <c r="K233" s="117">
        <v>0.9</v>
      </c>
      <c r="L233" s="118">
        <v>2</v>
      </c>
      <c r="M233" s="117">
        <v>12</v>
      </c>
      <c r="N233" s="118">
        <f t="shared" si="31"/>
        <v>697500</v>
      </c>
      <c r="O233" s="118">
        <f t="shared" si="32"/>
        <v>36399363.953899138</v>
      </c>
      <c r="P233" s="118">
        <f t="shared" si="33"/>
        <v>423142.60596407746</v>
      </c>
      <c r="Q233" s="118">
        <f t="shared" si="34"/>
        <v>274357.39403592254</v>
      </c>
      <c r="R233" s="119">
        <v>0.606656065898319</v>
      </c>
      <c r="S233" s="118"/>
      <c r="T233" s="117"/>
      <c r="U233" s="120"/>
      <c r="V233" s="118">
        <f t="shared" si="27"/>
        <v>36399363.953899138</v>
      </c>
      <c r="W233" s="118">
        <f t="shared" si="27"/>
        <v>423142.60596407746</v>
      </c>
      <c r="X233" s="121">
        <f t="shared" si="29"/>
        <v>36399363.953899138</v>
      </c>
      <c r="Y233" s="121">
        <f t="shared" si="29"/>
        <v>423142.60596407746</v>
      </c>
      <c r="Z233" s="121">
        <v>423142.59</v>
      </c>
      <c r="AA233" s="121"/>
      <c r="AB233" s="121">
        <f>Y233-Z233-AA233</f>
        <v>1.5964077436365187E-2</v>
      </c>
      <c r="AC233" s="122">
        <v>0</v>
      </c>
      <c r="AD233" s="122">
        <f>AB233/J233/K233/9*M233</f>
        <v>0.30516754956014697</v>
      </c>
      <c r="AE233" s="122"/>
      <c r="AF233" s="123"/>
      <c r="AG233" s="124">
        <f t="shared" si="28"/>
        <v>1.5964077436365187E-2</v>
      </c>
      <c r="AH233" s="154">
        <f>AB233/J233/K233/8*M233</f>
        <v>0.3433134932551653</v>
      </c>
      <c r="AI233" s="126"/>
    </row>
    <row r="234" spans="1:35" s="75" customFormat="1" ht="25.5">
      <c r="A234" s="62">
        <f t="shared" si="30"/>
        <v>223</v>
      </c>
      <c r="B234" s="63" t="s">
        <v>347</v>
      </c>
      <c r="C234" s="64" t="s">
        <v>348</v>
      </c>
      <c r="D234" s="63" t="s">
        <v>62</v>
      </c>
      <c r="E234" s="63" t="s">
        <v>41</v>
      </c>
      <c r="F234" s="63"/>
      <c r="G234" s="63"/>
      <c r="H234" s="65">
        <v>43497</v>
      </c>
      <c r="I234" s="66">
        <v>10000000</v>
      </c>
      <c r="J234" s="67">
        <v>7.7499999999999999E-2</v>
      </c>
      <c r="K234" s="68">
        <v>0.9</v>
      </c>
      <c r="L234" s="69">
        <v>10</v>
      </c>
      <c r="M234" s="68">
        <v>12</v>
      </c>
      <c r="N234" s="69">
        <f t="shared" si="31"/>
        <v>581250</v>
      </c>
      <c r="O234" s="69">
        <f t="shared" si="32"/>
        <v>6066560.6589831896</v>
      </c>
      <c r="P234" s="69">
        <f t="shared" si="33"/>
        <v>352618.83830339788</v>
      </c>
      <c r="Q234" s="69">
        <f t="shared" si="34"/>
        <v>228631.16169660212</v>
      </c>
      <c r="R234" s="70">
        <v>0.606656065898319</v>
      </c>
      <c r="S234" s="69"/>
      <c r="T234" s="68"/>
      <c r="U234" s="69"/>
      <c r="V234" s="69">
        <f t="shared" si="27"/>
        <v>6066560.6589831896</v>
      </c>
      <c r="W234" s="69">
        <f t="shared" si="27"/>
        <v>352618.83830339788</v>
      </c>
      <c r="X234" s="71">
        <f t="shared" si="29"/>
        <v>6066560.6589831896</v>
      </c>
      <c r="Y234" s="71">
        <f t="shared" si="29"/>
        <v>352618.83830339788</v>
      </c>
      <c r="Z234" s="71"/>
      <c r="AA234" s="71"/>
      <c r="AB234" s="71">
        <f>Y234-Z234-AA234</f>
        <v>352618.83830339788</v>
      </c>
      <c r="AC234" s="72">
        <v>6066560.6589831896</v>
      </c>
      <c r="AD234" s="72">
        <f>AB234/J234/K234/9*M234</f>
        <v>6740622.9544257652</v>
      </c>
      <c r="AE234" s="72"/>
      <c r="AF234" s="73"/>
      <c r="AG234" s="73">
        <f t="shared" si="28"/>
        <v>352618.83830339788</v>
      </c>
      <c r="AH234" s="74">
        <f>AB234/J234/K234/8*M234</f>
        <v>7583200.8237289861</v>
      </c>
      <c r="AI234" s="74"/>
    </row>
    <row r="235" spans="1:35" s="127" customFormat="1" ht="25.5">
      <c r="A235" s="110">
        <f t="shared" si="30"/>
        <v>224</v>
      </c>
      <c r="B235" s="111" t="s">
        <v>349</v>
      </c>
      <c r="C235" s="112" t="s">
        <v>350</v>
      </c>
      <c r="D235" s="111" t="s">
        <v>40</v>
      </c>
      <c r="E235" s="113" t="s">
        <v>97</v>
      </c>
      <c r="F235" s="111"/>
      <c r="G235" s="111"/>
      <c r="H235" s="114">
        <v>43497</v>
      </c>
      <c r="I235" s="115">
        <v>100000000</v>
      </c>
      <c r="J235" s="116">
        <v>7.7499999999999999E-2</v>
      </c>
      <c r="K235" s="117">
        <v>0.9</v>
      </c>
      <c r="L235" s="118">
        <v>10</v>
      </c>
      <c r="M235" s="117">
        <v>12</v>
      </c>
      <c r="N235" s="118">
        <f t="shared" si="31"/>
        <v>5812500</v>
      </c>
      <c r="O235" s="118">
        <f t="shared" si="32"/>
        <v>60665606.589831896</v>
      </c>
      <c r="P235" s="118">
        <f t="shared" si="33"/>
        <v>3526188.3830339783</v>
      </c>
      <c r="Q235" s="118">
        <f t="shared" si="34"/>
        <v>2286311.6169660217</v>
      </c>
      <c r="R235" s="119">
        <v>0.606656065898319</v>
      </c>
      <c r="S235" s="118"/>
      <c r="T235" s="117"/>
      <c r="U235" s="120"/>
      <c r="V235" s="118">
        <f t="shared" si="27"/>
        <v>60665606.589831896</v>
      </c>
      <c r="W235" s="118">
        <f t="shared" si="27"/>
        <v>3526188.3830339783</v>
      </c>
      <c r="X235" s="121">
        <f t="shared" si="29"/>
        <v>60665606.589831896</v>
      </c>
      <c r="Y235" s="121">
        <f t="shared" si="29"/>
        <v>3526188.3830339783</v>
      </c>
      <c r="Z235" s="121">
        <f>5331575.34-Z237-218602.19</f>
        <v>3526188.38</v>
      </c>
      <c r="AA235" s="121"/>
      <c r="AB235" s="121">
        <f>Y235-Z235-AA235</f>
        <v>3.0339783988893032E-3</v>
      </c>
      <c r="AC235" s="122">
        <v>115559405.14034846</v>
      </c>
      <c r="AD235" s="122">
        <f>AB235/J235/K235/9*M235</f>
        <v>5.7997197589281776E-2</v>
      </c>
      <c r="AE235" s="122"/>
      <c r="AF235" s="123"/>
      <c r="AG235" s="124">
        <f t="shared" si="28"/>
        <v>3.0339783988893032E-3</v>
      </c>
      <c r="AH235" s="154">
        <f>AB235/J235/K235/8*M235</f>
        <v>6.5246847287942E-2</v>
      </c>
      <c r="AI235" s="126"/>
    </row>
    <row r="236" spans="1:35" s="127" customFormat="1" ht="25.5">
      <c r="A236" s="110">
        <f t="shared" si="30"/>
        <v>225</v>
      </c>
      <c r="B236" s="111" t="s">
        <v>349</v>
      </c>
      <c r="C236" s="112" t="s">
        <v>350</v>
      </c>
      <c r="D236" s="111" t="s">
        <v>73</v>
      </c>
      <c r="E236" s="113" t="s">
        <v>97</v>
      </c>
      <c r="F236" s="111"/>
      <c r="G236" s="111"/>
      <c r="H236" s="114">
        <v>43497</v>
      </c>
      <c r="I236" s="115">
        <v>100000000</v>
      </c>
      <c r="J236" s="116">
        <v>7.7499999999999999E-2</v>
      </c>
      <c r="K236" s="117">
        <v>0.9</v>
      </c>
      <c r="L236" s="118">
        <v>10</v>
      </c>
      <c r="M236" s="117">
        <v>12</v>
      </c>
      <c r="N236" s="118">
        <f t="shared" si="31"/>
        <v>5812500</v>
      </c>
      <c r="O236" s="118">
        <f t="shared" si="32"/>
        <v>60665606.589831896</v>
      </c>
      <c r="P236" s="118">
        <f t="shared" si="33"/>
        <v>3526188.3830339783</v>
      </c>
      <c r="Q236" s="118">
        <f t="shared" si="34"/>
        <v>2286311.6169660217</v>
      </c>
      <c r="R236" s="119">
        <v>0.606656065898319</v>
      </c>
      <c r="S236" s="158">
        <v>100000000</v>
      </c>
      <c r="T236" s="159">
        <f>5812500-T239+534639.09</f>
        <v>3526188.38</v>
      </c>
      <c r="U236" s="120">
        <f>P236</f>
        <v>3526188.3830339783</v>
      </c>
      <c r="V236" s="118">
        <f t="shared" si="27"/>
        <v>-39334393.410168104</v>
      </c>
      <c r="W236" s="118">
        <f t="shared" si="27"/>
        <v>3.0339783988893032E-3</v>
      </c>
      <c r="X236" s="121">
        <f>SUM(V236)</f>
        <v>-39334393.410168104</v>
      </c>
      <c r="Y236" s="121">
        <f t="shared" si="29"/>
        <v>3.0339783988893032E-3</v>
      </c>
      <c r="Z236" s="121"/>
      <c r="AA236" s="121"/>
      <c r="AB236" s="121">
        <f>Y236-Z236-AA236</f>
        <v>3.0339783988893032E-3</v>
      </c>
      <c r="AC236" s="122">
        <v>0</v>
      </c>
      <c r="AD236" s="122">
        <f>AB236/J236/K236/9*M236</f>
        <v>5.7997197589281776E-2</v>
      </c>
      <c r="AE236" s="122"/>
      <c r="AF236" s="123"/>
      <c r="AG236" s="124">
        <f t="shared" si="28"/>
        <v>3.0339783988893032E-3</v>
      </c>
      <c r="AH236" s="154">
        <f>AB236/J236/K236/8*M236</f>
        <v>6.5246847287942E-2</v>
      </c>
      <c r="AI236" s="126"/>
    </row>
    <row r="237" spans="1:35" s="127" customFormat="1" ht="25.5">
      <c r="A237" s="110">
        <f t="shared" si="30"/>
        <v>226</v>
      </c>
      <c r="B237" s="111" t="s">
        <v>349</v>
      </c>
      <c r="C237" s="112" t="s">
        <v>350</v>
      </c>
      <c r="D237" s="111" t="s">
        <v>40</v>
      </c>
      <c r="E237" s="113" t="s">
        <v>97</v>
      </c>
      <c r="F237" s="111"/>
      <c r="G237" s="111"/>
      <c r="H237" s="114">
        <v>43525</v>
      </c>
      <c r="I237" s="115">
        <v>50000000</v>
      </c>
      <c r="J237" s="116">
        <v>7.7499999999999999E-2</v>
      </c>
      <c r="K237" s="117">
        <v>0.9</v>
      </c>
      <c r="L237" s="118">
        <v>9</v>
      </c>
      <c r="M237" s="117">
        <v>12</v>
      </c>
      <c r="N237" s="118">
        <f t="shared" si="31"/>
        <v>2615625</v>
      </c>
      <c r="O237" s="118">
        <f t="shared" si="32"/>
        <v>30332803.294915948</v>
      </c>
      <c r="P237" s="118">
        <f t="shared" si="33"/>
        <v>1586784.7723652904</v>
      </c>
      <c r="Q237" s="118">
        <f t="shared" si="34"/>
        <v>1028840.2276347096</v>
      </c>
      <c r="R237" s="119">
        <v>0.606656065898319</v>
      </c>
      <c r="S237" s="118"/>
      <c r="T237" s="117"/>
      <c r="U237" s="120"/>
      <c r="V237" s="118">
        <f t="shared" si="27"/>
        <v>30332803.294915948</v>
      </c>
      <c r="W237" s="118">
        <f t="shared" si="27"/>
        <v>1586784.7723652904</v>
      </c>
      <c r="X237" s="121">
        <f t="shared" si="29"/>
        <v>30332803.294915948</v>
      </c>
      <c r="Y237" s="121">
        <f>SUM(W237)</f>
        <v>1586784.7723652904</v>
      </c>
      <c r="Z237" s="121">
        <v>1586784.77</v>
      </c>
      <c r="AA237" s="121"/>
      <c r="AB237" s="121">
        <f>Y237-Z237-AA237</f>
        <v>2.3652904201298952E-3</v>
      </c>
      <c r="AC237" s="122">
        <v>0</v>
      </c>
      <c r="AD237" s="122">
        <f>AB237/J237/K237/9*M237</f>
        <v>4.5214631687070878E-2</v>
      </c>
      <c r="AE237" s="122"/>
      <c r="AF237" s="123"/>
      <c r="AG237" s="124">
        <f t="shared" si="28"/>
        <v>2.3652904201298952E-3</v>
      </c>
      <c r="AH237" s="154">
        <f>AB237/J237/K237/8*M237</f>
        <v>5.0866460647954734E-2</v>
      </c>
      <c r="AI237" s="126"/>
    </row>
    <row r="238" spans="1:35" s="127" customFormat="1" ht="25.5">
      <c r="A238" s="110">
        <f t="shared" si="30"/>
        <v>227</v>
      </c>
      <c r="B238" s="111" t="s">
        <v>349</v>
      </c>
      <c r="C238" s="112" t="s">
        <v>350</v>
      </c>
      <c r="D238" s="111" t="s">
        <v>73</v>
      </c>
      <c r="E238" s="113" t="s">
        <v>97</v>
      </c>
      <c r="F238" s="111"/>
      <c r="G238" s="111"/>
      <c r="H238" s="114">
        <v>43525</v>
      </c>
      <c r="I238" s="115">
        <v>100000000</v>
      </c>
      <c r="J238" s="116">
        <v>7.7499999999999999E-2</v>
      </c>
      <c r="K238" s="117">
        <v>0.9</v>
      </c>
      <c r="L238" s="118">
        <v>9</v>
      </c>
      <c r="M238" s="117">
        <v>12</v>
      </c>
      <c r="N238" s="118">
        <f t="shared" si="31"/>
        <v>5231250</v>
      </c>
      <c r="O238" s="118">
        <f t="shared" si="32"/>
        <v>60665606.589831896</v>
      </c>
      <c r="P238" s="118">
        <f t="shared" si="33"/>
        <v>3173569.5447305809</v>
      </c>
      <c r="Q238" s="118">
        <f t="shared" si="34"/>
        <v>2057680.4552694191</v>
      </c>
      <c r="R238" s="119">
        <v>0.606656065898319</v>
      </c>
      <c r="S238" s="158">
        <v>100000000</v>
      </c>
      <c r="T238" s="159">
        <f>5812500-534639.09-T240-T241</f>
        <v>3173569.54</v>
      </c>
      <c r="U238" s="120">
        <v>3526188.38</v>
      </c>
      <c r="V238" s="118">
        <f t="shared" si="27"/>
        <v>-39334393.410168104</v>
      </c>
      <c r="W238" s="118">
        <f t="shared" si="27"/>
        <v>4.7305808402597904E-3</v>
      </c>
      <c r="X238" s="121">
        <f t="shared" si="29"/>
        <v>-39334393.410168104</v>
      </c>
      <c r="Y238" s="121">
        <f t="shared" si="29"/>
        <v>4.7305808402597904E-3</v>
      </c>
      <c r="Z238" s="121"/>
      <c r="AA238" s="121"/>
      <c r="AB238" s="121">
        <f>Y238-Z238-AA238</f>
        <v>4.7305808402597904E-3</v>
      </c>
      <c r="AC238" s="122">
        <v>0</v>
      </c>
      <c r="AD238" s="122">
        <f>AB238/J238/K238/9*M238</f>
        <v>9.0429263374141755E-2</v>
      </c>
      <c r="AE238" s="122"/>
      <c r="AF238" s="123"/>
      <c r="AG238" s="124">
        <f t="shared" si="28"/>
        <v>4.7305808402597904E-3</v>
      </c>
      <c r="AH238" s="154">
        <f>AB238/J238/K238/8*M238</f>
        <v>0.10173292129590947</v>
      </c>
      <c r="AI238" s="126"/>
    </row>
    <row r="239" spans="1:35" s="127" customFormat="1" ht="25.5">
      <c r="A239" s="110">
        <f t="shared" si="30"/>
        <v>228</v>
      </c>
      <c r="B239" s="111" t="s">
        <v>349</v>
      </c>
      <c r="C239" s="112" t="s">
        <v>350</v>
      </c>
      <c r="D239" s="111" t="s">
        <v>73</v>
      </c>
      <c r="E239" s="113" t="s">
        <v>97</v>
      </c>
      <c r="F239" s="111"/>
      <c r="G239" s="111"/>
      <c r="H239" s="114">
        <v>43556</v>
      </c>
      <c r="I239" s="115">
        <v>100000000</v>
      </c>
      <c r="J239" s="116">
        <v>7.7499999999999999E-2</v>
      </c>
      <c r="K239" s="117">
        <v>0.9</v>
      </c>
      <c r="L239" s="118">
        <v>8</v>
      </c>
      <c r="M239" s="117">
        <v>12</v>
      </c>
      <c r="N239" s="118">
        <f t="shared" si="31"/>
        <v>4650000</v>
      </c>
      <c r="O239" s="118">
        <f t="shared" si="32"/>
        <v>60665606.589831896</v>
      </c>
      <c r="P239" s="118">
        <f t="shared" si="33"/>
        <v>2820950.706427183</v>
      </c>
      <c r="Q239" s="118">
        <f t="shared" si="34"/>
        <v>1829049.293572817</v>
      </c>
      <c r="R239" s="119">
        <v>0.606656065898319</v>
      </c>
      <c r="S239" s="118"/>
      <c r="T239" s="165">
        <v>2820950.71</v>
      </c>
      <c r="U239" s="120"/>
      <c r="V239" s="118">
        <f t="shared" si="27"/>
        <v>60665606.589831896</v>
      </c>
      <c r="W239" s="118">
        <f t="shared" si="27"/>
        <v>-3.5728169605135918E-3</v>
      </c>
      <c r="X239" s="121">
        <f t="shared" si="29"/>
        <v>60665606.589831896</v>
      </c>
      <c r="Y239" s="121">
        <f t="shared" si="29"/>
        <v>-3.5728169605135918E-3</v>
      </c>
      <c r="Z239" s="121"/>
      <c r="AA239" s="121"/>
      <c r="AB239" s="121">
        <f>Y239-Z239-AA239</f>
        <v>-3.5728169605135918E-3</v>
      </c>
      <c r="AC239" s="122">
        <v>0</v>
      </c>
      <c r="AD239" s="122">
        <f>AB239/J239/K239/9*M239</f>
        <v>-6.8297576306114063E-2</v>
      </c>
      <c r="AE239" s="122"/>
      <c r="AF239" s="123"/>
      <c r="AG239" s="124">
        <f t="shared" si="28"/>
        <v>-3.5728169605135918E-3</v>
      </c>
      <c r="AH239" s="125">
        <f>AB239/J239/K239/8*M239</f>
        <v>-7.6834773344378313E-2</v>
      </c>
      <c r="AI239" s="126"/>
    </row>
    <row r="240" spans="1:35" s="127" customFormat="1" ht="25.5">
      <c r="A240" s="110">
        <f t="shared" si="30"/>
        <v>229</v>
      </c>
      <c r="B240" s="111" t="s">
        <v>349</v>
      </c>
      <c r="C240" s="112" t="s">
        <v>350</v>
      </c>
      <c r="D240" s="111" t="s">
        <v>73</v>
      </c>
      <c r="E240" s="113" t="s">
        <v>97</v>
      </c>
      <c r="F240" s="111"/>
      <c r="G240" s="111"/>
      <c r="H240" s="114">
        <v>43556</v>
      </c>
      <c r="I240" s="115">
        <v>50000000</v>
      </c>
      <c r="J240" s="116">
        <v>7.7499999999999999E-2</v>
      </c>
      <c r="K240" s="117">
        <v>0.9</v>
      </c>
      <c r="L240" s="118">
        <v>8</v>
      </c>
      <c r="M240" s="117">
        <v>12</v>
      </c>
      <c r="N240" s="118">
        <f t="shared" si="31"/>
        <v>2325000</v>
      </c>
      <c r="O240" s="118">
        <f t="shared" si="32"/>
        <v>30332803.294915948</v>
      </c>
      <c r="P240" s="118">
        <f t="shared" si="33"/>
        <v>1410475.3532135915</v>
      </c>
      <c r="Q240" s="118">
        <f t="shared" si="34"/>
        <v>914524.6467864085</v>
      </c>
      <c r="R240" s="119">
        <v>0.606656065898319</v>
      </c>
      <c r="S240" s="118"/>
      <c r="T240" s="165">
        <v>1410475.35</v>
      </c>
      <c r="U240" s="120"/>
      <c r="V240" s="118">
        <f t="shared" si="27"/>
        <v>30332803.294915948</v>
      </c>
      <c r="W240" s="118">
        <f t="shared" si="27"/>
        <v>3.2135914079844952E-3</v>
      </c>
      <c r="X240" s="121">
        <f t="shared" si="29"/>
        <v>30332803.294915948</v>
      </c>
      <c r="Y240" s="121">
        <f t="shared" si="29"/>
        <v>3.2135914079844952E-3</v>
      </c>
      <c r="Z240" s="121"/>
      <c r="AA240" s="121"/>
      <c r="AB240" s="121">
        <f>Y240-Z240-AA240</f>
        <v>3.2135914079844952E-3</v>
      </c>
      <c r="AC240" s="122">
        <v>0</v>
      </c>
      <c r="AD240" s="122">
        <f>AB240/J240/K240/9*M240</f>
        <v>6.1430660128735867E-2</v>
      </c>
      <c r="AE240" s="122"/>
      <c r="AF240" s="123"/>
      <c r="AG240" s="124">
        <f t="shared" si="28"/>
        <v>3.2135914079844952E-3</v>
      </c>
      <c r="AH240" s="154">
        <f>AB240/J240/K240/8*M240</f>
        <v>6.9109492644827852E-2</v>
      </c>
      <c r="AI240" s="126"/>
    </row>
    <row r="241" spans="1:35" s="75" customFormat="1" ht="25.5">
      <c r="A241" s="62">
        <f t="shared" si="30"/>
        <v>230</v>
      </c>
      <c r="B241" s="63" t="s">
        <v>349</v>
      </c>
      <c r="C241" s="64" t="s">
        <v>350</v>
      </c>
      <c r="D241" s="63" t="s">
        <v>73</v>
      </c>
      <c r="E241" s="63" t="s">
        <v>97</v>
      </c>
      <c r="F241" s="63"/>
      <c r="G241" s="63"/>
      <c r="H241" s="65">
        <v>43586</v>
      </c>
      <c r="I241" s="66">
        <v>100000000</v>
      </c>
      <c r="J241" s="67">
        <v>7.7499999999999999E-2</v>
      </c>
      <c r="K241" s="68">
        <v>0.9</v>
      </c>
      <c r="L241" s="69">
        <v>7</v>
      </c>
      <c r="M241" s="68">
        <v>12</v>
      </c>
      <c r="N241" s="69">
        <f t="shared" si="31"/>
        <v>4068750</v>
      </c>
      <c r="O241" s="69">
        <f t="shared" si="32"/>
        <v>60665606.589831896</v>
      </c>
      <c r="P241" s="69">
        <f t="shared" si="33"/>
        <v>2468331.8681237851</v>
      </c>
      <c r="Q241" s="69">
        <f t="shared" si="34"/>
        <v>1600418.1318762149</v>
      </c>
      <c r="R241" s="70">
        <v>0.606656065898319</v>
      </c>
      <c r="S241" s="69"/>
      <c r="T241" s="97">
        <v>693816.02</v>
      </c>
      <c r="U241" s="69"/>
      <c r="V241" s="69">
        <f t="shared" si="27"/>
        <v>60665606.589831896</v>
      </c>
      <c r="W241" s="69">
        <f t="shared" si="27"/>
        <v>1774515.8481237851</v>
      </c>
      <c r="X241" s="71">
        <f t="shared" si="29"/>
        <v>60665606.589831896</v>
      </c>
      <c r="Y241" s="71">
        <f t="shared" si="29"/>
        <v>1774515.8481237851</v>
      </c>
      <c r="Z241" s="71">
        <v>218602.19</v>
      </c>
      <c r="AA241" s="71"/>
      <c r="AB241" s="71">
        <f>Y241-Z241-AA241</f>
        <v>1555913.6581237852</v>
      </c>
      <c r="AC241" s="72">
        <v>0</v>
      </c>
      <c r="AD241" s="72">
        <f>AB241/J241/K241/9*M241</f>
        <v>29742674.468316086</v>
      </c>
      <c r="AE241" s="72"/>
      <c r="AF241" s="73"/>
      <c r="AG241" s="73">
        <f t="shared" si="28"/>
        <v>1555913.6581237852</v>
      </c>
      <c r="AH241" s="74">
        <f>AB241/J241/K241/8*M241</f>
        <v>33460508.776855595</v>
      </c>
      <c r="AI241" s="74"/>
    </row>
    <row r="242" spans="1:35" s="75" customFormat="1" ht="25.5">
      <c r="A242" s="62">
        <f t="shared" si="30"/>
        <v>231</v>
      </c>
      <c r="B242" s="63" t="s">
        <v>349</v>
      </c>
      <c r="C242" s="64" t="s">
        <v>350</v>
      </c>
      <c r="D242" s="63" t="s">
        <v>73</v>
      </c>
      <c r="E242" s="63" t="s">
        <v>97</v>
      </c>
      <c r="F242" s="63"/>
      <c r="G242" s="63"/>
      <c r="H242" s="65">
        <v>43647</v>
      </c>
      <c r="I242" s="66">
        <v>100000000</v>
      </c>
      <c r="J242" s="67">
        <v>7.7499999999999999E-2</v>
      </c>
      <c r="K242" s="68">
        <v>0.9</v>
      </c>
      <c r="L242" s="69">
        <v>5</v>
      </c>
      <c r="M242" s="68">
        <v>12</v>
      </c>
      <c r="N242" s="69">
        <f t="shared" si="31"/>
        <v>2906250</v>
      </c>
      <c r="O242" s="69">
        <f t="shared" si="32"/>
        <v>60665606.589831896</v>
      </c>
      <c r="P242" s="69">
        <f t="shared" si="33"/>
        <v>1763094.1915169891</v>
      </c>
      <c r="Q242" s="69">
        <f t="shared" si="34"/>
        <v>1143155.8084830109</v>
      </c>
      <c r="R242" s="70">
        <v>0.606656065898319</v>
      </c>
      <c r="S242" s="69"/>
      <c r="T242" s="68"/>
      <c r="U242" s="69"/>
      <c r="V242" s="69">
        <f t="shared" si="27"/>
        <v>60665606.589831896</v>
      </c>
      <c r="W242" s="69">
        <f t="shared" si="27"/>
        <v>1763094.1915169891</v>
      </c>
      <c r="X242" s="71">
        <f t="shared" si="29"/>
        <v>60665606.589831896</v>
      </c>
      <c r="Y242" s="71">
        <f t="shared" si="29"/>
        <v>1763094.1915169891</v>
      </c>
      <c r="Z242" s="71"/>
      <c r="AA242" s="71"/>
      <c r="AB242" s="71">
        <f>AH242*7.75/100*0.9*8/12</f>
        <v>2820950.7064350005</v>
      </c>
      <c r="AC242" s="72"/>
      <c r="AD242" s="72">
        <f>AB242/J242/K242/9*M242</f>
        <v>53924983.635555558</v>
      </c>
      <c r="AE242" s="72"/>
      <c r="AF242" s="73"/>
      <c r="AG242" s="73">
        <f t="shared" si="28"/>
        <v>2820950.7064350005</v>
      </c>
      <c r="AH242" s="74">
        <v>60665606.590000004</v>
      </c>
      <c r="AI242" s="74"/>
    </row>
    <row r="243" spans="1:35" s="75" customFormat="1" ht="25.5">
      <c r="A243" s="62">
        <f t="shared" si="30"/>
        <v>232</v>
      </c>
      <c r="B243" s="63" t="s">
        <v>349</v>
      </c>
      <c r="C243" s="64" t="s">
        <v>350</v>
      </c>
      <c r="D243" s="63" t="s">
        <v>73</v>
      </c>
      <c r="E243" s="63" t="s">
        <v>97</v>
      </c>
      <c r="F243" s="63"/>
      <c r="G243" s="63"/>
      <c r="H243" s="65">
        <v>43678</v>
      </c>
      <c r="I243" s="66">
        <v>100000000</v>
      </c>
      <c r="J243" s="67">
        <v>7.7499999999999999E-2</v>
      </c>
      <c r="K243" s="68">
        <v>0.9</v>
      </c>
      <c r="L243" s="69">
        <v>4</v>
      </c>
      <c r="M243" s="68">
        <v>12</v>
      </c>
      <c r="N243" s="69">
        <f t="shared" si="31"/>
        <v>2325000</v>
      </c>
      <c r="O243" s="69">
        <f t="shared" si="32"/>
        <v>60665606.589831896</v>
      </c>
      <c r="P243" s="69">
        <f t="shared" si="33"/>
        <v>1410475.3532135915</v>
      </c>
      <c r="Q243" s="69">
        <f t="shared" si="34"/>
        <v>914524.6467864085</v>
      </c>
      <c r="R243" s="70">
        <v>0.606656065898319</v>
      </c>
      <c r="S243" s="69"/>
      <c r="T243" s="68"/>
      <c r="U243" s="69"/>
      <c r="V243" s="69">
        <f t="shared" ref="V243:W262" si="36">O243-S243</f>
        <v>60665606.589831896</v>
      </c>
      <c r="W243" s="69">
        <f t="shared" si="36"/>
        <v>1410475.3532135915</v>
      </c>
      <c r="X243" s="71">
        <f t="shared" si="29"/>
        <v>60665606.589831896</v>
      </c>
      <c r="Y243" s="71">
        <f t="shared" si="29"/>
        <v>1410475.3532135915</v>
      </c>
      <c r="Z243" s="71"/>
      <c r="AA243" s="71"/>
      <c r="AB243" s="71">
        <f>AH243*7.75/100*0.9*8/12</f>
        <v>273135.6354412146</v>
      </c>
      <c r="AC243" s="72"/>
      <c r="AD243" s="72">
        <f>AB243/J243/K243/9*M243</f>
        <v>5221230.7850172445</v>
      </c>
      <c r="AE243" s="72"/>
      <c r="AF243" s="73"/>
      <c r="AG243" s="73">
        <f t="shared" si="28"/>
        <v>273135.6354412146</v>
      </c>
      <c r="AH243" s="74">
        <f>100000000-AH241-AH242</f>
        <v>5873884.633144401</v>
      </c>
      <c r="AI243" s="74"/>
    </row>
    <row r="244" spans="1:35" s="75" customFormat="1" ht="25.5">
      <c r="A244" s="62">
        <f t="shared" si="30"/>
        <v>233</v>
      </c>
      <c r="B244" s="63" t="s">
        <v>349</v>
      </c>
      <c r="C244" s="64" t="s">
        <v>350</v>
      </c>
      <c r="D244" s="63" t="s">
        <v>73</v>
      </c>
      <c r="E244" s="63" t="s">
        <v>97</v>
      </c>
      <c r="F244" s="63"/>
      <c r="G244" s="63"/>
      <c r="H244" s="65">
        <v>43709</v>
      </c>
      <c r="I244" s="66">
        <v>100000000</v>
      </c>
      <c r="J244" s="67">
        <v>7.7499999999999999E-2</v>
      </c>
      <c r="K244" s="68">
        <v>0.9</v>
      </c>
      <c r="L244" s="69">
        <v>3</v>
      </c>
      <c r="M244" s="68">
        <v>12</v>
      </c>
      <c r="N244" s="69">
        <f t="shared" si="31"/>
        <v>1743750</v>
      </c>
      <c r="O244" s="69">
        <f t="shared" si="32"/>
        <v>60665606.589831896</v>
      </c>
      <c r="P244" s="69">
        <f t="shared" si="33"/>
        <v>1057856.5149101936</v>
      </c>
      <c r="Q244" s="69">
        <f t="shared" si="34"/>
        <v>685893.48508980637</v>
      </c>
      <c r="R244" s="70">
        <v>0.606656065898319</v>
      </c>
      <c r="S244" s="69"/>
      <c r="T244" s="68"/>
      <c r="U244" s="69"/>
      <c r="V244" s="69">
        <f t="shared" si="36"/>
        <v>60665606.589831896</v>
      </c>
      <c r="W244" s="69">
        <f t="shared" si="36"/>
        <v>1057856.5149101936</v>
      </c>
      <c r="X244" s="71">
        <f t="shared" si="29"/>
        <v>60665606.589831896</v>
      </c>
      <c r="Y244" s="71">
        <f t="shared" si="29"/>
        <v>1057856.5149101936</v>
      </c>
      <c r="Z244" s="71"/>
      <c r="AA244" s="71"/>
      <c r="AB244" s="71">
        <v>0</v>
      </c>
      <c r="AC244" s="72"/>
      <c r="AD244" s="72"/>
      <c r="AE244" s="72"/>
      <c r="AF244" s="73"/>
      <c r="AG244" s="73">
        <f t="shared" si="28"/>
        <v>0</v>
      </c>
      <c r="AH244" s="74">
        <v>0</v>
      </c>
      <c r="AI244" s="74"/>
    </row>
    <row r="245" spans="1:35" s="75" customFormat="1" ht="25.5">
      <c r="A245" s="62">
        <f t="shared" si="30"/>
        <v>234</v>
      </c>
      <c r="B245" s="63" t="s">
        <v>349</v>
      </c>
      <c r="C245" s="64" t="s">
        <v>350</v>
      </c>
      <c r="D245" s="63" t="s">
        <v>73</v>
      </c>
      <c r="E245" s="63" t="s">
        <v>97</v>
      </c>
      <c r="F245" s="63"/>
      <c r="G245" s="63"/>
      <c r="H245" s="65">
        <v>43709</v>
      </c>
      <c r="I245" s="66">
        <v>100000000</v>
      </c>
      <c r="J245" s="67">
        <v>7.7499999999999999E-2</v>
      </c>
      <c r="K245" s="68">
        <v>0.9</v>
      </c>
      <c r="L245" s="69">
        <v>3</v>
      </c>
      <c r="M245" s="68">
        <v>12</v>
      </c>
      <c r="N245" s="69">
        <f t="shared" si="31"/>
        <v>1743750</v>
      </c>
      <c r="O245" s="69">
        <f t="shared" si="32"/>
        <v>60665606.589831896</v>
      </c>
      <c r="P245" s="69">
        <f t="shared" si="33"/>
        <v>1057856.5149101936</v>
      </c>
      <c r="Q245" s="69">
        <f t="shared" si="34"/>
        <v>685893.48508980637</v>
      </c>
      <c r="R245" s="70">
        <v>0.606656065898319</v>
      </c>
      <c r="S245" s="69"/>
      <c r="T245" s="68"/>
      <c r="U245" s="69"/>
      <c r="V245" s="69">
        <f t="shared" si="36"/>
        <v>60665606.589831896</v>
      </c>
      <c r="W245" s="69">
        <f t="shared" si="36"/>
        <v>1057856.5149101936</v>
      </c>
      <c r="X245" s="71">
        <f t="shared" si="29"/>
        <v>60665606.589831896</v>
      </c>
      <c r="Y245" s="71">
        <f t="shared" si="29"/>
        <v>1057856.5149101936</v>
      </c>
      <c r="Z245" s="71"/>
      <c r="AA245" s="71"/>
      <c r="AB245" s="71">
        <v>0</v>
      </c>
      <c r="AC245" s="72"/>
      <c r="AD245" s="72"/>
      <c r="AE245" s="72"/>
      <c r="AF245" s="73"/>
      <c r="AG245" s="73">
        <f t="shared" si="28"/>
        <v>0</v>
      </c>
      <c r="AH245" s="74">
        <v>0</v>
      </c>
      <c r="AI245" s="74"/>
    </row>
    <row r="246" spans="1:35" s="75" customFormat="1" ht="25.5">
      <c r="A246" s="62">
        <f t="shared" si="30"/>
        <v>235</v>
      </c>
      <c r="B246" s="63" t="s">
        <v>349</v>
      </c>
      <c r="C246" s="64" t="s">
        <v>350</v>
      </c>
      <c r="D246" s="63" t="s">
        <v>73</v>
      </c>
      <c r="E246" s="63" t="s">
        <v>97</v>
      </c>
      <c r="F246" s="63"/>
      <c r="G246" s="63"/>
      <c r="H246" s="65">
        <v>43770</v>
      </c>
      <c r="I246" s="66">
        <v>100000000</v>
      </c>
      <c r="J246" s="67">
        <v>7.7499999999999999E-2</v>
      </c>
      <c r="K246" s="68">
        <v>0.9</v>
      </c>
      <c r="L246" s="69">
        <v>1</v>
      </c>
      <c r="M246" s="68">
        <v>12</v>
      </c>
      <c r="N246" s="69">
        <f t="shared" si="31"/>
        <v>581250</v>
      </c>
      <c r="O246" s="69">
        <f t="shared" si="32"/>
        <v>60665606.589831896</v>
      </c>
      <c r="P246" s="69">
        <f t="shared" si="33"/>
        <v>352618.83830339788</v>
      </c>
      <c r="Q246" s="69">
        <f t="shared" si="34"/>
        <v>228631.16169660212</v>
      </c>
      <c r="R246" s="70">
        <v>0.606656065898319</v>
      </c>
      <c r="S246" s="69"/>
      <c r="T246" s="68"/>
      <c r="U246" s="69"/>
      <c r="V246" s="69">
        <f t="shared" si="36"/>
        <v>60665606.589831896</v>
      </c>
      <c r="W246" s="69">
        <f t="shared" si="36"/>
        <v>352618.83830339788</v>
      </c>
      <c r="X246" s="71">
        <f t="shared" si="29"/>
        <v>60665606.589831896</v>
      </c>
      <c r="Y246" s="71">
        <f t="shared" si="29"/>
        <v>352618.83830339788</v>
      </c>
      <c r="Z246" s="71"/>
      <c r="AA246" s="71"/>
      <c r="AB246" s="71">
        <v>0</v>
      </c>
      <c r="AC246" s="72"/>
      <c r="AD246" s="72"/>
      <c r="AE246" s="72"/>
      <c r="AF246" s="73"/>
      <c r="AG246" s="73">
        <f t="shared" si="28"/>
        <v>0</v>
      </c>
      <c r="AH246" s="74">
        <v>0</v>
      </c>
      <c r="AI246" s="74"/>
    </row>
    <row r="247" spans="1:35" s="75" customFormat="1" ht="25.5">
      <c r="A247" s="62">
        <f t="shared" si="30"/>
        <v>236</v>
      </c>
      <c r="B247" s="63" t="s">
        <v>349</v>
      </c>
      <c r="C247" s="64" t="s">
        <v>350</v>
      </c>
      <c r="D247" s="63" t="s">
        <v>73</v>
      </c>
      <c r="E247" s="63" t="s">
        <v>97</v>
      </c>
      <c r="F247" s="63"/>
      <c r="G247" s="63"/>
      <c r="H247" s="65">
        <v>43800</v>
      </c>
      <c r="I247" s="66">
        <v>100000000</v>
      </c>
      <c r="J247" s="67">
        <v>7.7499999999999999E-2</v>
      </c>
      <c r="K247" s="68">
        <v>0.9</v>
      </c>
      <c r="L247" s="69">
        <v>0</v>
      </c>
      <c r="M247" s="68">
        <v>12</v>
      </c>
      <c r="N247" s="69">
        <f t="shared" si="31"/>
        <v>0</v>
      </c>
      <c r="O247" s="69">
        <f t="shared" si="32"/>
        <v>60665606.589831896</v>
      </c>
      <c r="P247" s="69">
        <f t="shared" si="33"/>
        <v>0</v>
      </c>
      <c r="Q247" s="69">
        <f t="shared" si="34"/>
        <v>0</v>
      </c>
      <c r="R247" s="70">
        <v>0.606656065898319</v>
      </c>
      <c r="S247" s="69"/>
      <c r="T247" s="68"/>
      <c r="U247" s="69"/>
      <c r="V247" s="69">
        <f t="shared" si="36"/>
        <v>60665606.589831896</v>
      </c>
      <c r="W247" s="69">
        <f t="shared" si="36"/>
        <v>0</v>
      </c>
      <c r="X247" s="71">
        <f t="shared" si="29"/>
        <v>60665606.589831896</v>
      </c>
      <c r="Y247" s="71">
        <f t="shared" si="29"/>
        <v>0</v>
      </c>
      <c r="Z247" s="71"/>
      <c r="AA247" s="71"/>
      <c r="AB247" s="71">
        <f>Y247-Z247-AA247</f>
        <v>0</v>
      </c>
      <c r="AC247" s="72">
        <v>0</v>
      </c>
      <c r="AD247" s="72">
        <f>AB247/J247/K247/9*M247</f>
        <v>0</v>
      </c>
      <c r="AE247" s="72"/>
      <c r="AF247" s="73"/>
      <c r="AG247" s="73">
        <f t="shared" si="28"/>
        <v>0</v>
      </c>
      <c r="AH247" s="74">
        <f>AB247/J247/K247/8*M247</f>
        <v>0</v>
      </c>
      <c r="AI247" s="74"/>
    </row>
    <row r="248" spans="1:35" s="75" customFormat="1" ht="25.5">
      <c r="A248" s="62">
        <f t="shared" si="30"/>
        <v>237</v>
      </c>
      <c r="B248" s="63" t="s">
        <v>349</v>
      </c>
      <c r="C248" s="64" t="s">
        <v>350</v>
      </c>
      <c r="D248" s="63" t="s">
        <v>73</v>
      </c>
      <c r="E248" s="63" t="s">
        <v>97</v>
      </c>
      <c r="F248" s="63"/>
      <c r="G248" s="63"/>
      <c r="H248" s="65">
        <v>43800</v>
      </c>
      <c r="I248" s="66">
        <v>100000000</v>
      </c>
      <c r="J248" s="67">
        <v>7.7499999999999999E-2</v>
      </c>
      <c r="K248" s="68">
        <v>0.9</v>
      </c>
      <c r="L248" s="69">
        <v>0</v>
      </c>
      <c r="M248" s="68">
        <v>12</v>
      </c>
      <c r="N248" s="69">
        <f t="shared" si="31"/>
        <v>0</v>
      </c>
      <c r="O248" s="69">
        <f t="shared" si="32"/>
        <v>60665606.589831896</v>
      </c>
      <c r="P248" s="69">
        <f t="shared" si="33"/>
        <v>0</v>
      </c>
      <c r="Q248" s="69">
        <f t="shared" si="34"/>
        <v>0</v>
      </c>
      <c r="R248" s="70">
        <v>0.606656065898319</v>
      </c>
      <c r="S248" s="69"/>
      <c r="T248" s="68"/>
      <c r="U248" s="69"/>
      <c r="V248" s="69">
        <f t="shared" si="36"/>
        <v>60665606.589831896</v>
      </c>
      <c r="W248" s="69">
        <f t="shared" si="36"/>
        <v>0</v>
      </c>
      <c r="X248" s="71">
        <f t="shared" si="29"/>
        <v>60665606.589831896</v>
      </c>
      <c r="Y248" s="71">
        <f t="shared" si="29"/>
        <v>0</v>
      </c>
      <c r="Z248" s="71"/>
      <c r="AA248" s="71"/>
      <c r="AB248" s="71">
        <f>Y248-Z248-AA248</f>
        <v>0</v>
      </c>
      <c r="AC248" s="72">
        <v>0</v>
      </c>
      <c r="AD248" s="72">
        <f>AB248/J248/K248/9*M248</f>
        <v>0</v>
      </c>
      <c r="AE248" s="72"/>
      <c r="AF248" s="73"/>
      <c r="AG248" s="73">
        <f t="shared" si="28"/>
        <v>0</v>
      </c>
      <c r="AH248" s="74">
        <f>AB248/J248/K248/8*M248</f>
        <v>0</v>
      </c>
      <c r="AI248" s="74"/>
    </row>
    <row r="249" spans="1:35" s="127" customFormat="1" ht="38.25">
      <c r="A249" s="110">
        <f>A248+1</f>
        <v>238</v>
      </c>
      <c r="B249" s="111" t="s">
        <v>351</v>
      </c>
      <c r="C249" s="112" t="s">
        <v>352</v>
      </c>
      <c r="D249" s="111" t="s">
        <v>73</v>
      </c>
      <c r="E249" s="113" t="s">
        <v>97</v>
      </c>
      <c r="F249" s="111"/>
      <c r="G249" s="111"/>
      <c r="H249" s="114">
        <v>43497</v>
      </c>
      <c r="I249" s="115">
        <v>20000000</v>
      </c>
      <c r="J249" s="116">
        <v>7.7499999999999999E-2</v>
      </c>
      <c r="K249" s="117">
        <v>0.9</v>
      </c>
      <c r="L249" s="118">
        <v>10</v>
      </c>
      <c r="M249" s="117">
        <v>12</v>
      </c>
      <c r="N249" s="118">
        <f t="shared" si="31"/>
        <v>1162500</v>
      </c>
      <c r="O249" s="118">
        <f t="shared" si="32"/>
        <v>12133121.317966379</v>
      </c>
      <c r="P249" s="118">
        <f t="shared" si="33"/>
        <v>705237.67660679575</v>
      </c>
      <c r="Q249" s="118">
        <f t="shared" si="34"/>
        <v>457262.32339320425</v>
      </c>
      <c r="R249" s="119">
        <v>0.606656065898319</v>
      </c>
      <c r="S249" s="118"/>
      <c r="T249" s="117"/>
      <c r="U249" s="120"/>
      <c r="V249" s="118">
        <f t="shared" si="36"/>
        <v>12133121.317966379</v>
      </c>
      <c r="W249" s="118">
        <f t="shared" si="36"/>
        <v>705237.67660679575</v>
      </c>
      <c r="X249" s="121">
        <f t="shared" si="29"/>
        <v>12133121.317966379</v>
      </c>
      <c r="Y249" s="121">
        <f t="shared" si="29"/>
        <v>705237.67660679575</v>
      </c>
      <c r="Z249" s="121">
        <f>2665787.67-Z251-Z252-479550.87</f>
        <v>705237.67999999982</v>
      </c>
      <c r="AA249" s="121"/>
      <c r="AB249" s="121">
        <f>Y249-Z249-AA249</f>
        <v>-3.3932040678337216E-3</v>
      </c>
      <c r="AC249" s="122">
        <v>7632326.2603403106</v>
      </c>
      <c r="AD249" s="122">
        <f>AB249/J249/K249/9*M249</f>
        <v>-6.4864115992042476E-2</v>
      </c>
      <c r="AE249" s="122"/>
      <c r="AF249" s="123"/>
      <c r="AG249" s="124">
        <f t="shared" si="28"/>
        <v>-3.3932040678337216E-3</v>
      </c>
      <c r="AH249" s="125">
        <f>AB249/J249/K249/8*M249</f>
        <v>-7.2972130491047782E-2</v>
      </c>
      <c r="AI249" s="126"/>
    </row>
    <row r="250" spans="1:35" s="75" customFormat="1" ht="38.25">
      <c r="A250" s="62">
        <f t="shared" si="30"/>
        <v>239</v>
      </c>
      <c r="B250" s="63" t="s">
        <v>351</v>
      </c>
      <c r="C250" s="64" t="s">
        <v>352</v>
      </c>
      <c r="D250" s="63" t="s">
        <v>40</v>
      </c>
      <c r="E250" s="63" t="s">
        <v>97</v>
      </c>
      <c r="F250" s="63"/>
      <c r="G250" s="63"/>
      <c r="H250" s="65">
        <v>43497</v>
      </c>
      <c r="I250" s="66">
        <v>10000000</v>
      </c>
      <c r="J250" s="67">
        <v>7.7499999999999999E-2</v>
      </c>
      <c r="K250" s="68">
        <v>0.9</v>
      </c>
      <c r="L250" s="69">
        <v>10</v>
      </c>
      <c r="M250" s="68">
        <v>12</v>
      </c>
      <c r="N250" s="69">
        <f t="shared" si="31"/>
        <v>581250</v>
      </c>
      <c r="O250" s="69">
        <f t="shared" si="32"/>
        <v>6066560.6589831896</v>
      </c>
      <c r="P250" s="69">
        <f t="shared" si="33"/>
        <v>352618.83830339788</v>
      </c>
      <c r="Q250" s="69">
        <f t="shared" si="34"/>
        <v>228631.16169660212</v>
      </c>
      <c r="R250" s="70">
        <v>0.606656065898319</v>
      </c>
      <c r="S250" s="69"/>
      <c r="T250" s="68"/>
      <c r="U250" s="69"/>
      <c r="V250" s="69">
        <f t="shared" si="36"/>
        <v>6066560.6589831896</v>
      </c>
      <c r="W250" s="69">
        <f t="shared" si="36"/>
        <v>352618.83830339788</v>
      </c>
      <c r="X250" s="71">
        <f t="shared" si="29"/>
        <v>6066560.6589831896</v>
      </c>
      <c r="Y250" s="71">
        <f t="shared" si="29"/>
        <v>352618.83830339788</v>
      </c>
      <c r="Z250" s="71"/>
      <c r="AA250" s="71"/>
      <c r="AB250" s="71">
        <f>Y250-Z250-AA250</f>
        <v>352618.83830339788</v>
      </c>
      <c r="AC250" s="72">
        <v>0</v>
      </c>
      <c r="AD250" s="72">
        <f>AB250/J250/K250/9*M250</f>
        <v>6740622.9544257652</v>
      </c>
      <c r="AE250" s="72"/>
      <c r="AF250" s="73"/>
      <c r="AG250" s="73">
        <f t="shared" si="28"/>
        <v>352618.83830339788</v>
      </c>
      <c r="AH250" s="74">
        <f>AB250/J250/K250/8*M250</f>
        <v>7583200.8237289861</v>
      </c>
      <c r="AI250" s="74"/>
    </row>
    <row r="251" spans="1:35" s="127" customFormat="1" ht="38.25">
      <c r="A251" s="110">
        <f t="shared" si="30"/>
        <v>240</v>
      </c>
      <c r="B251" s="111" t="s">
        <v>351</v>
      </c>
      <c r="C251" s="112" t="s">
        <v>352</v>
      </c>
      <c r="D251" s="111" t="s">
        <v>73</v>
      </c>
      <c r="E251" s="113" t="s">
        <v>97</v>
      </c>
      <c r="F251" s="111"/>
      <c r="G251" s="111"/>
      <c r="H251" s="114">
        <v>43525</v>
      </c>
      <c r="I251" s="115">
        <v>20000000</v>
      </c>
      <c r="J251" s="116">
        <v>7.7499999999999999E-2</v>
      </c>
      <c r="K251" s="117">
        <v>0.9</v>
      </c>
      <c r="L251" s="118">
        <v>9</v>
      </c>
      <c r="M251" s="117">
        <v>12</v>
      </c>
      <c r="N251" s="118">
        <f t="shared" si="31"/>
        <v>1046250</v>
      </c>
      <c r="O251" s="118">
        <f t="shared" si="32"/>
        <v>12133121.317966379</v>
      </c>
      <c r="P251" s="118">
        <f t="shared" si="33"/>
        <v>634713.90894611622</v>
      </c>
      <c r="Q251" s="118">
        <f t="shared" si="34"/>
        <v>411536.09105388378</v>
      </c>
      <c r="R251" s="119">
        <v>0.606656065898319</v>
      </c>
      <c r="S251" s="118"/>
      <c r="T251" s="117"/>
      <c r="U251" s="120"/>
      <c r="V251" s="118">
        <f t="shared" si="36"/>
        <v>12133121.317966379</v>
      </c>
      <c r="W251" s="118">
        <f t="shared" si="36"/>
        <v>634713.90894611622</v>
      </c>
      <c r="X251" s="121">
        <f t="shared" si="29"/>
        <v>12133121.317966379</v>
      </c>
      <c r="Y251" s="121">
        <f t="shared" si="29"/>
        <v>634713.90894611622</v>
      </c>
      <c r="Z251" s="121">
        <v>634713.91</v>
      </c>
      <c r="AA251" s="121"/>
      <c r="AB251" s="121">
        <f>Y251-Z251-AA251</f>
        <v>-1.0538838105276227E-3</v>
      </c>
      <c r="AC251" s="122">
        <v>0</v>
      </c>
      <c r="AD251" s="122">
        <f>AB251/J251/K251/9*M251</f>
        <v>-2.0145927082965309E-2</v>
      </c>
      <c r="AE251" s="122"/>
      <c r="AF251" s="123"/>
      <c r="AG251" s="124">
        <f t="shared" si="28"/>
        <v>-1.0538838105276227E-3</v>
      </c>
      <c r="AH251" s="125">
        <f>AB251/J251/K251/8*M251</f>
        <v>-2.2664167968335973E-2</v>
      </c>
      <c r="AI251" s="126"/>
    </row>
    <row r="252" spans="1:35" s="127" customFormat="1" ht="38.25">
      <c r="A252" s="110">
        <f t="shared" si="30"/>
        <v>241</v>
      </c>
      <c r="B252" s="111" t="s">
        <v>351</v>
      </c>
      <c r="C252" s="112" t="s">
        <v>352</v>
      </c>
      <c r="D252" s="111" t="s">
        <v>73</v>
      </c>
      <c r="E252" s="113" t="s">
        <v>97</v>
      </c>
      <c r="F252" s="111"/>
      <c r="G252" s="111"/>
      <c r="H252" s="114">
        <v>43556</v>
      </c>
      <c r="I252" s="115">
        <v>30000000</v>
      </c>
      <c r="J252" s="116">
        <v>7.7499999999999999E-2</v>
      </c>
      <c r="K252" s="117">
        <v>0.9</v>
      </c>
      <c r="L252" s="118">
        <v>8</v>
      </c>
      <c r="M252" s="117">
        <v>12</v>
      </c>
      <c r="N252" s="118">
        <f t="shared" si="31"/>
        <v>1395000</v>
      </c>
      <c r="O252" s="118">
        <f t="shared" si="32"/>
        <v>18199681.976949569</v>
      </c>
      <c r="P252" s="118">
        <f t="shared" si="33"/>
        <v>846285.21192815492</v>
      </c>
      <c r="Q252" s="118">
        <f t="shared" si="34"/>
        <v>548714.78807184508</v>
      </c>
      <c r="R252" s="119">
        <v>0.606656065898319</v>
      </c>
      <c r="S252" s="118"/>
      <c r="T252" s="117"/>
      <c r="U252" s="120"/>
      <c r="V252" s="118">
        <f t="shared" si="36"/>
        <v>18199681.976949569</v>
      </c>
      <c r="W252" s="118">
        <f t="shared" si="36"/>
        <v>846285.21192815492</v>
      </c>
      <c r="X252" s="121">
        <f t="shared" si="29"/>
        <v>18199681.976949569</v>
      </c>
      <c r="Y252" s="121">
        <f t="shared" si="29"/>
        <v>846285.21192815492</v>
      </c>
      <c r="Z252" s="121">
        <v>846285.21</v>
      </c>
      <c r="AA252" s="121"/>
      <c r="AB252" s="121">
        <f>Y252-Z252-AA252</f>
        <v>1.9281549612060189E-3</v>
      </c>
      <c r="AC252" s="122">
        <v>0</v>
      </c>
      <c r="AD252" s="122">
        <f>AB252/J252/K252/9*M252</f>
        <v>3.6858398302624017E-2</v>
      </c>
      <c r="AE252" s="122"/>
      <c r="AF252" s="123"/>
      <c r="AG252" s="124">
        <f t="shared" si="28"/>
        <v>1.9281549612060189E-3</v>
      </c>
      <c r="AH252" s="154">
        <f>AB252/J252/K252/8*M252</f>
        <v>4.1465698090452023E-2</v>
      </c>
      <c r="AI252" s="126"/>
    </row>
    <row r="253" spans="1:35" s="75" customFormat="1" ht="38.25">
      <c r="A253" s="62">
        <f t="shared" si="30"/>
        <v>242</v>
      </c>
      <c r="B253" s="63" t="s">
        <v>351</v>
      </c>
      <c r="C253" s="64" t="s">
        <v>352</v>
      </c>
      <c r="D253" s="63" t="s">
        <v>225</v>
      </c>
      <c r="E253" s="63" t="s">
        <v>97</v>
      </c>
      <c r="F253" s="63"/>
      <c r="G253" s="63"/>
      <c r="H253" s="65">
        <v>43586</v>
      </c>
      <c r="I253" s="66">
        <v>30000000</v>
      </c>
      <c r="J253" s="67">
        <v>7.7499999999999999E-2</v>
      </c>
      <c r="K253" s="68">
        <v>0.9</v>
      </c>
      <c r="L253" s="69">
        <v>7</v>
      </c>
      <c r="M253" s="68">
        <v>12</v>
      </c>
      <c r="N253" s="69">
        <f t="shared" si="31"/>
        <v>1220625</v>
      </c>
      <c r="O253" s="69">
        <f t="shared" si="32"/>
        <v>18199681.976949569</v>
      </c>
      <c r="P253" s="69">
        <f t="shared" si="33"/>
        <v>740499.56043713551</v>
      </c>
      <c r="Q253" s="69">
        <f t="shared" si="34"/>
        <v>480125.43956286449</v>
      </c>
      <c r="R253" s="70">
        <v>0.606656065898319</v>
      </c>
      <c r="S253" s="69"/>
      <c r="T253" s="68"/>
      <c r="U253" s="69"/>
      <c r="V253" s="69">
        <f t="shared" si="36"/>
        <v>18199681.976949569</v>
      </c>
      <c r="W253" s="69">
        <f t="shared" si="36"/>
        <v>740499.56043713551</v>
      </c>
      <c r="X253" s="71">
        <f t="shared" si="29"/>
        <v>18199681.976949569</v>
      </c>
      <c r="Y253" s="71">
        <f t="shared" si="29"/>
        <v>740499.56043713551</v>
      </c>
      <c r="Z253" s="71">
        <v>479550.87</v>
      </c>
      <c r="AA253" s="71"/>
      <c r="AB253" s="71">
        <f>Y253-Z253-AA253</f>
        <v>260948.69043713552</v>
      </c>
      <c r="AC253" s="72">
        <v>0</v>
      </c>
      <c r="AD253" s="72">
        <f>AB253/J253/K253/9*M253</f>
        <v>4988266.483864001</v>
      </c>
      <c r="AE253" s="72"/>
      <c r="AF253" s="73"/>
      <c r="AG253" s="73">
        <f t="shared" si="28"/>
        <v>260948.69043713552</v>
      </c>
      <c r="AH253" s="74">
        <f>AB253/J253/K253/8*M253</f>
        <v>5611799.7943470012</v>
      </c>
      <c r="AI253" s="74"/>
    </row>
    <row r="254" spans="1:35" s="75" customFormat="1" ht="38.25">
      <c r="A254" s="62">
        <f t="shared" si="30"/>
        <v>243</v>
      </c>
      <c r="B254" s="63" t="s">
        <v>351</v>
      </c>
      <c r="C254" s="64" t="s">
        <v>352</v>
      </c>
      <c r="D254" s="63" t="s">
        <v>40</v>
      </c>
      <c r="E254" s="63" t="s">
        <v>97</v>
      </c>
      <c r="F254" s="63"/>
      <c r="G254" s="63"/>
      <c r="H254" s="65">
        <v>43770</v>
      </c>
      <c r="I254" s="66">
        <v>20000000</v>
      </c>
      <c r="J254" s="67">
        <v>7.7499999999999999E-2</v>
      </c>
      <c r="K254" s="68">
        <v>0.9</v>
      </c>
      <c r="L254" s="69">
        <v>1</v>
      </c>
      <c r="M254" s="68">
        <v>12</v>
      </c>
      <c r="N254" s="69">
        <f t="shared" si="31"/>
        <v>116250</v>
      </c>
      <c r="O254" s="69">
        <f t="shared" si="32"/>
        <v>12133121.317966379</v>
      </c>
      <c r="P254" s="69">
        <f t="shared" si="33"/>
        <v>70523.767660679572</v>
      </c>
      <c r="Q254" s="69">
        <f t="shared" si="34"/>
        <v>45726.232339320428</v>
      </c>
      <c r="R254" s="70">
        <v>0.606656065898319</v>
      </c>
      <c r="S254" s="69"/>
      <c r="T254" s="68"/>
      <c r="U254" s="69"/>
      <c r="V254" s="69">
        <f t="shared" si="36"/>
        <v>12133121.317966379</v>
      </c>
      <c r="W254" s="69">
        <f t="shared" si="36"/>
        <v>70523.767660679572</v>
      </c>
      <c r="X254" s="71">
        <f t="shared" si="29"/>
        <v>12133121.317966379</v>
      </c>
      <c r="Y254" s="71">
        <f t="shared" si="29"/>
        <v>70523.767660679572</v>
      </c>
      <c r="Z254" s="71"/>
      <c r="AA254" s="71"/>
      <c r="AB254" s="71">
        <f>Y254-Z254-AA254</f>
        <v>70523.767660679572</v>
      </c>
      <c r="AC254" s="72">
        <v>0</v>
      </c>
      <c r="AD254" s="72">
        <f>AB254/J254/K254/9*M254</f>
        <v>1348124.5908851533</v>
      </c>
      <c r="AE254" s="72"/>
      <c r="AF254" s="73"/>
      <c r="AG254" s="73">
        <f t="shared" si="28"/>
        <v>70523.767660679572</v>
      </c>
      <c r="AH254" s="74">
        <f>AB254/J254/K254/8*M254</f>
        <v>1516640.1647457974</v>
      </c>
      <c r="AI254" s="74"/>
    </row>
    <row r="255" spans="1:35" s="75" customFormat="1" ht="38.25">
      <c r="A255" s="62">
        <f t="shared" si="30"/>
        <v>244</v>
      </c>
      <c r="B255" s="63" t="s">
        <v>351</v>
      </c>
      <c r="C255" s="64" t="s">
        <v>352</v>
      </c>
      <c r="D255" s="63" t="s">
        <v>225</v>
      </c>
      <c r="E255" s="63" t="s">
        <v>97</v>
      </c>
      <c r="F255" s="63"/>
      <c r="G255" s="63"/>
      <c r="H255" s="65">
        <v>43800</v>
      </c>
      <c r="I255" s="66">
        <v>20000000</v>
      </c>
      <c r="J255" s="67">
        <v>7.7499999999999999E-2</v>
      </c>
      <c r="K255" s="68">
        <v>0.9</v>
      </c>
      <c r="L255" s="69">
        <v>0</v>
      </c>
      <c r="M255" s="68">
        <v>12</v>
      </c>
      <c r="N255" s="69">
        <f t="shared" si="31"/>
        <v>0</v>
      </c>
      <c r="O255" s="69">
        <f t="shared" si="32"/>
        <v>12133121.317966379</v>
      </c>
      <c r="P255" s="69">
        <f t="shared" si="33"/>
        <v>0</v>
      </c>
      <c r="Q255" s="69">
        <f t="shared" si="34"/>
        <v>0</v>
      </c>
      <c r="R255" s="70">
        <v>0.606656065898319</v>
      </c>
      <c r="S255" s="69"/>
      <c r="T255" s="68"/>
      <c r="U255" s="69"/>
      <c r="V255" s="69">
        <f t="shared" si="36"/>
        <v>12133121.317966379</v>
      </c>
      <c r="W255" s="69">
        <f t="shared" si="36"/>
        <v>0</v>
      </c>
      <c r="X255" s="71">
        <f t="shared" si="29"/>
        <v>12133121.317966379</v>
      </c>
      <c r="Y255" s="71">
        <f t="shared" si="29"/>
        <v>0</v>
      </c>
      <c r="Z255" s="71"/>
      <c r="AA255" s="71"/>
      <c r="AB255" s="71">
        <f>Y255-Z255-AA255</f>
        <v>0</v>
      </c>
      <c r="AC255" s="72">
        <v>0</v>
      </c>
      <c r="AD255" s="72">
        <f>AB255/J255/K255/9*M255</f>
        <v>0</v>
      </c>
      <c r="AE255" s="72"/>
      <c r="AF255" s="73"/>
      <c r="AG255" s="73">
        <f t="shared" si="28"/>
        <v>0</v>
      </c>
      <c r="AH255" s="74">
        <f>AB255/J255/K255/8*M255</f>
        <v>0</v>
      </c>
      <c r="AI255" s="74"/>
    </row>
    <row r="256" spans="1:35" s="127" customFormat="1">
      <c r="A256" s="110">
        <f t="shared" si="30"/>
        <v>245</v>
      </c>
      <c r="B256" s="111" t="s">
        <v>353</v>
      </c>
      <c r="C256" s="112" t="s">
        <v>354</v>
      </c>
      <c r="D256" s="111" t="s">
        <v>73</v>
      </c>
      <c r="E256" s="113" t="s">
        <v>97</v>
      </c>
      <c r="F256" s="111"/>
      <c r="G256" s="111"/>
      <c r="H256" s="114">
        <v>43497</v>
      </c>
      <c r="I256" s="115">
        <v>5000000</v>
      </c>
      <c r="J256" s="116">
        <v>7.7499999999999999E-2</v>
      </c>
      <c r="K256" s="117">
        <v>0.9</v>
      </c>
      <c r="L256" s="118">
        <v>10</v>
      </c>
      <c r="M256" s="117">
        <v>12</v>
      </c>
      <c r="N256" s="118">
        <f t="shared" si="31"/>
        <v>290625</v>
      </c>
      <c r="O256" s="118">
        <f t="shared" si="32"/>
        <v>3033280.3294915948</v>
      </c>
      <c r="P256" s="118">
        <f t="shared" si="33"/>
        <v>176309.41915169894</v>
      </c>
      <c r="Q256" s="118">
        <f t="shared" si="34"/>
        <v>114315.58084830106</v>
      </c>
      <c r="R256" s="119">
        <v>0.606656065898319</v>
      </c>
      <c r="S256" s="143">
        <v>5000000</v>
      </c>
      <c r="T256" s="142">
        <f>290625-T258-T259-61422.76</f>
        <v>176309.41999999998</v>
      </c>
      <c r="U256" s="120">
        <f>P256</f>
        <v>176309.41915169894</v>
      </c>
      <c r="V256" s="118">
        <f t="shared" si="36"/>
        <v>-1966719.6705084052</v>
      </c>
      <c r="W256" s="118">
        <f t="shared" si="36"/>
        <v>-8.4830104606226087E-4</v>
      </c>
      <c r="X256" s="121">
        <f t="shared" si="29"/>
        <v>-1966719.6705084052</v>
      </c>
      <c r="Y256" s="121">
        <f t="shared" si="29"/>
        <v>-8.4830104606226087E-4</v>
      </c>
      <c r="Z256" s="121"/>
      <c r="AA256" s="121"/>
      <c r="AB256" s="121">
        <f>Y256-Z256-AA256</f>
        <v>-8.4830104606226087E-4</v>
      </c>
      <c r="AC256" s="122">
        <v>1673216.7248815082</v>
      </c>
      <c r="AD256" s="122">
        <f>AB256/J256/K256/9*M256</f>
        <v>-1.6216029554356241E-2</v>
      </c>
      <c r="AE256" s="122"/>
      <c r="AF256" s="123"/>
      <c r="AG256" s="124">
        <f t="shared" si="28"/>
        <v>-8.4830104606226087E-4</v>
      </c>
      <c r="AH256" s="125">
        <f>AB256/J256/K256/8*M256</f>
        <v>-1.8243033248650772E-2</v>
      </c>
      <c r="AI256" s="126"/>
    </row>
    <row r="257" spans="1:35" s="75" customFormat="1" ht="25.5">
      <c r="A257" s="62">
        <f t="shared" si="30"/>
        <v>246</v>
      </c>
      <c r="B257" s="63" t="s">
        <v>353</v>
      </c>
      <c r="C257" s="64" t="s">
        <v>354</v>
      </c>
      <c r="D257" s="63" t="s">
        <v>40</v>
      </c>
      <c r="E257" s="63" t="s">
        <v>97</v>
      </c>
      <c r="F257" s="63"/>
      <c r="G257" s="63"/>
      <c r="H257" s="65">
        <v>43525</v>
      </c>
      <c r="I257" s="66">
        <v>5000000</v>
      </c>
      <c r="J257" s="67">
        <v>7.7499999999999999E-2</v>
      </c>
      <c r="K257" s="68">
        <v>0.9</v>
      </c>
      <c r="L257" s="69">
        <v>9</v>
      </c>
      <c r="M257" s="68">
        <v>12</v>
      </c>
      <c r="N257" s="69">
        <f t="shared" si="31"/>
        <v>261562.5</v>
      </c>
      <c r="O257" s="69">
        <f t="shared" si="32"/>
        <v>3033280.3294915948</v>
      </c>
      <c r="P257" s="69">
        <f t="shared" si="33"/>
        <v>158678.47723652906</v>
      </c>
      <c r="Q257" s="69">
        <f t="shared" si="34"/>
        <v>102884.02276347094</v>
      </c>
      <c r="R257" s="70">
        <v>0.606656065898319</v>
      </c>
      <c r="S257" s="69"/>
      <c r="T257" s="68">
        <v>61422.76</v>
      </c>
      <c r="U257" s="69">
        <f>P257</f>
        <v>158678.47723652906</v>
      </c>
      <c r="V257" s="69">
        <f t="shared" si="36"/>
        <v>3033280.3294915948</v>
      </c>
      <c r="W257" s="69">
        <f t="shared" si="36"/>
        <v>97255.717236529046</v>
      </c>
      <c r="X257" s="71">
        <f t="shared" si="29"/>
        <v>3033280.3294915948</v>
      </c>
      <c r="Y257" s="71">
        <f t="shared" si="29"/>
        <v>97255.717236529046</v>
      </c>
      <c r="Z257" s="71"/>
      <c r="AA257" s="71"/>
      <c r="AB257" s="71">
        <f>Y257-Z257-AA257</f>
        <v>97255.717236529046</v>
      </c>
      <c r="AC257" s="72">
        <v>0</v>
      </c>
      <c r="AD257" s="72">
        <f>AB257/J257/K257/9*M257</f>
        <v>1859129.6006982853</v>
      </c>
      <c r="AE257" s="72"/>
      <c r="AF257" s="73"/>
      <c r="AG257" s="73">
        <f t="shared" si="28"/>
        <v>97255.717236529046</v>
      </c>
      <c r="AH257" s="74">
        <f>AB257/J257/K257/8*M257</f>
        <v>2091520.8007855709</v>
      </c>
      <c r="AI257" s="74"/>
    </row>
    <row r="258" spans="1:35" s="127" customFormat="1">
      <c r="A258" s="110">
        <f t="shared" si="30"/>
        <v>247</v>
      </c>
      <c r="B258" s="111" t="s">
        <v>353</v>
      </c>
      <c r="C258" s="112" t="s">
        <v>354</v>
      </c>
      <c r="D258" s="111" t="s">
        <v>73</v>
      </c>
      <c r="E258" s="113" t="s">
        <v>97</v>
      </c>
      <c r="F258" s="111"/>
      <c r="G258" s="111"/>
      <c r="H258" s="114">
        <v>43739</v>
      </c>
      <c r="I258" s="115">
        <v>5000000</v>
      </c>
      <c r="J258" s="116">
        <v>7.7499999999999999E-2</v>
      </c>
      <c r="K258" s="117">
        <v>0.9</v>
      </c>
      <c r="L258" s="118">
        <v>2</v>
      </c>
      <c r="M258" s="117">
        <v>12</v>
      </c>
      <c r="N258" s="118">
        <f t="shared" si="31"/>
        <v>58125</v>
      </c>
      <c r="O258" s="118">
        <f t="shared" si="32"/>
        <v>3033280.3294915948</v>
      </c>
      <c r="P258" s="118">
        <f t="shared" si="33"/>
        <v>35261.883830339786</v>
      </c>
      <c r="Q258" s="118">
        <f t="shared" si="34"/>
        <v>22863.116169660214</v>
      </c>
      <c r="R258" s="119">
        <v>0.606656065898319</v>
      </c>
      <c r="S258" s="118"/>
      <c r="T258" s="117">
        <v>35261.879999999997</v>
      </c>
      <c r="U258" s="120">
        <f>P258</f>
        <v>35261.883830339786</v>
      </c>
      <c r="V258" s="118">
        <f t="shared" si="36"/>
        <v>3033280.3294915948</v>
      </c>
      <c r="W258" s="118">
        <f t="shared" si="36"/>
        <v>3.830339788692072E-3</v>
      </c>
      <c r="X258" s="121">
        <f t="shared" si="29"/>
        <v>3033280.3294915948</v>
      </c>
      <c r="Y258" s="121">
        <f t="shared" si="29"/>
        <v>3.830339788692072E-3</v>
      </c>
      <c r="Z258" s="121"/>
      <c r="AA258" s="121"/>
      <c r="AB258" s="121">
        <f>Y258-Z258-AA258</f>
        <v>3.830339788692072E-3</v>
      </c>
      <c r="AC258" s="122">
        <v>0</v>
      </c>
      <c r="AD258" s="122">
        <f>AB258/J258/K258/9*M258</f>
        <v>7.3220354383599945E-2</v>
      </c>
      <c r="AE258" s="122"/>
      <c r="AF258" s="123"/>
      <c r="AG258" s="124">
        <f t="shared" si="28"/>
        <v>3.830339788692072E-3</v>
      </c>
      <c r="AH258" s="154">
        <f>AB258/J258/K258/8*M258</f>
        <v>8.2372898681549941E-2</v>
      </c>
      <c r="AI258" s="126"/>
    </row>
    <row r="259" spans="1:35" s="127" customFormat="1">
      <c r="A259" s="110">
        <f t="shared" si="30"/>
        <v>248</v>
      </c>
      <c r="B259" s="111" t="s">
        <v>353</v>
      </c>
      <c r="C259" s="112" t="s">
        <v>354</v>
      </c>
      <c r="D259" s="111" t="s">
        <v>73</v>
      </c>
      <c r="E259" s="113" t="s">
        <v>97</v>
      </c>
      <c r="F259" s="111"/>
      <c r="G259" s="111"/>
      <c r="H259" s="114">
        <v>43770</v>
      </c>
      <c r="I259" s="115">
        <v>5000000</v>
      </c>
      <c r="J259" s="116">
        <v>7.7499999999999999E-2</v>
      </c>
      <c r="K259" s="117">
        <v>0.9</v>
      </c>
      <c r="L259" s="118">
        <v>1</v>
      </c>
      <c r="M259" s="117">
        <v>12</v>
      </c>
      <c r="N259" s="118">
        <f t="shared" si="31"/>
        <v>29062.5</v>
      </c>
      <c r="O259" s="118">
        <f t="shared" si="32"/>
        <v>3033280.3294915948</v>
      </c>
      <c r="P259" s="118">
        <f t="shared" si="33"/>
        <v>17630.941915169893</v>
      </c>
      <c r="Q259" s="118">
        <f t="shared" si="34"/>
        <v>11431.558084830107</v>
      </c>
      <c r="R259" s="119">
        <v>0.606656065898319</v>
      </c>
      <c r="S259" s="118"/>
      <c r="T259" s="117">
        <v>17630.939999999999</v>
      </c>
      <c r="U259" s="120">
        <f>P259</f>
        <v>17630.941915169893</v>
      </c>
      <c r="V259" s="118">
        <f t="shared" si="36"/>
        <v>3033280.3294915948</v>
      </c>
      <c r="W259" s="118">
        <f t="shared" si="36"/>
        <v>1.915169894346036E-3</v>
      </c>
      <c r="X259" s="121">
        <f t="shared" si="29"/>
        <v>3033280.3294915948</v>
      </c>
      <c r="Y259" s="121">
        <f t="shared" si="29"/>
        <v>1.915169894346036E-3</v>
      </c>
      <c r="Z259" s="121"/>
      <c r="AA259" s="121"/>
      <c r="AB259" s="121">
        <f>Y259-Z259-AA259</f>
        <v>1.915169894346036E-3</v>
      </c>
      <c r="AC259" s="122">
        <v>0</v>
      </c>
      <c r="AD259" s="122">
        <f>AB259/J259/K259/9*M259</f>
        <v>3.6610177191799972E-2</v>
      </c>
      <c r="AE259" s="122"/>
      <c r="AF259" s="123"/>
      <c r="AG259" s="124">
        <f t="shared" si="28"/>
        <v>1.915169894346036E-3</v>
      </c>
      <c r="AH259" s="154">
        <f>AB259/J259/K259/8*M259</f>
        <v>4.1186449340774971E-2</v>
      </c>
      <c r="AI259" s="126"/>
    </row>
    <row r="260" spans="1:35" s="127" customFormat="1">
      <c r="A260" s="110">
        <f t="shared" si="30"/>
        <v>249</v>
      </c>
      <c r="B260" s="111" t="s">
        <v>353</v>
      </c>
      <c r="C260" s="112" t="s">
        <v>354</v>
      </c>
      <c r="D260" s="111" t="s">
        <v>73</v>
      </c>
      <c r="E260" s="113" t="s">
        <v>97</v>
      </c>
      <c r="F260" s="111"/>
      <c r="G260" s="111"/>
      <c r="H260" s="114">
        <v>43800</v>
      </c>
      <c r="I260" s="115">
        <v>5000000</v>
      </c>
      <c r="J260" s="116">
        <v>7.7499999999999999E-2</v>
      </c>
      <c r="K260" s="117">
        <v>0.9</v>
      </c>
      <c r="L260" s="118">
        <v>0</v>
      </c>
      <c r="M260" s="117">
        <v>12</v>
      </c>
      <c r="N260" s="118">
        <f t="shared" si="31"/>
        <v>0</v>
      </c>
      <c r="O260" s="118">
        <f t="shared" si="32"/>
        <v>3033280.3294915948</v>
      </c>
      <c r="P260" s="118">
        <f t="shared" si="33"/>
        <v>0</v>
      </c>
      <c r="Q260" s="118">
        <f t="shared" si="34"/>
        <v>0</v>
      </c>
      <c r="R260" s="119">
        <v>0.606656065898319</v>
      </c>
      <c r="S260" s="118"/>
      <c r="T260" s="117"/>
      <c r="U260" s="120"/>
      <c r="V260" s="118">
        <f t="shared" si="36"/>
        <v>3033280.3294915948</v>
      </c>
      <c r="W260" s="118">
        <f t="shared" si="36"/>
        <v>0</v>
      </c>
      <c r="X260" s="121">
        <f t="shared" si="29"/>
        <v>3033280.3294915948</v>
      </c>
      <c r="Y260" s="121">
        <f t="shared" si="29"/>
        <v>0</v>
      </c>
      <c r="Z260" s="121"/>
      <c r="AA260" s="121"/>
      <c r="AB260" s="121">
        <f>Y260-Z260-AA260</f>
        <v>0</v>
      </c>
      <c r="AC260" s="122">
        <v>0</v>
      </c>
      <c r="AD260" s="122">
        <f>AB260/J260/K260/9*M260</f>
        <v>0</v>
      </c>
      <c r="AE260" s="122"/>
      <c r="AF260" s="123"/>
      <c r="AG260" s="124">
        <f t="shared" si="28"/>
        <v>0</v>
      </c>
      <c r="AH260" s="154">
        <f>AB260/J260/K260/8*M260</f>
        <v>0</v>
      </c>
      <c r="AI260" s="126"/>
    </row>
    <row r="261" spans="1:35" s="127" customFormat="1" ht="25.5">
      <c r="A261" s="110">
        <f t="shared" si="30"/>
        <v>250</v>
      </c>
      <c r="B261" s="111" t="s">
        <v>355</v>
      </c>
      <c r="C261" s="112" t="s">
        <v>356</v>
      </c>
      <c r="D261" s="111" t="s">
        <v>40</v>
      </c>
      <c r="E261" s="113" t="s">
        <v>97</v>
      </c>
      <c r="F261" s="111"/>
      <c r="G261" s="111"/>
      <c r="H261" s="114">
        <v>43466</v>
      </c>
      <c r="I261" s="115">
        <v>22000000</v>
      </c>
      <c r="J261" s="116">
        <v>7.7499999999999999E-2</v>
      </c>
      <c r="K261" s="117">
        <v>0.9</v>
      </c>
      <c r="L261" s="118">
        <v>10</v>
      </c>
      <c r="M261" s="117">
        <v>12</v>
      </c>
      <c r="N261" s="118">
        <f t="shared" si="31"/>
        <v>1278750</v>
      </c>
      <c r="O261" s="118">
        <f t="shared" si="32"/>
        <v>13346433.449763019</v>
      </c>
      <c r="P261" s="118">
        <f t="shared" si="33"/>
        <v>775761.44426747551</v>
      </c>
      <c r="Q261" s="118">
        <f t="shared" si="34"/>
        <v>502988.55573252449</v>
      </c>
      <c r="R261" s="119">
        <v>0.606656065898319</v>
      </c>
      <c r="S261" s="143">
        <v>22000000</v>
      </c>
      <c r="T261" s="142">
        <v>1278750</v>
      </c>
      <c r="U261" s="120">
        <f>P261</f>
        <v>775761.44426747551</v>
      </c>
      <c r="V261" s="118">
        <f t="shared" si="36"/>
        <v>-8653566.5502369814</v>
      </c>
      <c r="W261" s="118">
        <f t="shared" si="36"/>
        <v>-502988.55573252449</v>
      </c>
      <c r="X261" s="121">
        <f t="shared" si="29"/>
        <v>-8653566.5502369814</v>
      </c>
      <c r="Y261" s="121">
        <f t="shared" si="29"/>
        <v>-502988.55573252449</v>
      </c>
      <c r="Z261" s="121"/>
      <c r="AA261" s="121"/>
      <c r="AB261" s="121">
        <f>Y261-Z261-AA261</f>
        <v>-502988.55573252449</v>
      </c>
      <c r="AC261" s="122">
        <v>-17773693.759457152</v>
      </c>
      <c r="AD261" s="122">
        <f>AB261/J261/K261/9*M261</f>
        <v>-9615073.944707755</v>
      </c>
      <c r="AE261" s="122"/>
      <c r="AF261" s="123"/>
      <c r="AG261" s="124">
        <f t="shared" si="28"/>
        <v>-502988.55573252449</v>
      </c>
      <c r="AH261" s="125">
        <f>AB261/J261/K261/8*M261</f>
        <v>-10816958.187796224</v>
      </c>
      <c r="AI261" s="126"/>
    </row>
    <row r="262" spans="1:35" s="127" customFormat="1" ht="25.5">
      <c r="A262" s="110">
        <f t="shared" si="30"/>
        <v>251</v>
      </c>
      <c r="B262" s="111" t="s">
        <v>355</v>
      </c>
      <c r="C262" s="112" t="s">
        <v>356</v>
      </c>
      <c r="D262" s="111" t="s">
        <v>40</v>
      </c>
      <c r="E262" s="113" t="s">
        <v>97</v>
      </c>
      <c r="F262" s="111"/>
      <c r="G262" s="111"/>
      <c r="H262" s="114">
        <v>43497</v>
      </c>
      <c r="I262" s="115">
        <v>12000000</v>
      </c>
      <c r="J262" s="116">
        <v>7.7499999999999999E-2</v>
      </c>
      <c r="K262" s="117">
        <v>0.9</v>
      </c>
      <c r="L262" s="118">
        <v>10</v>
      </c>
      <c r="M262" s="117">
        <v>12</v>
      </c>
      <c r="N262" s="118">
        <f t="shared" si="31"/>
        <v>697500</v>
      </c>
      <c r="O262" s="118">
        <f t="shared" si="32"/>
        <v>7279872.7907798281</v>
      </c>
      <c r="P262" s="118">
        <f t="shared" si="33"/>
        <v>423142.60596407746</v>
      </c>
      <c r="Q262" s="118">
        <f t="shared" si="34"/>
        <v>274357.39403592254</v>
      </c>
      <c r="R262" s="119">
        <v>0.606656065898319</v>
      </c>
      <c r="S262" s="158">
        <v>16400000</v>
      </c>
      <c r="T262" s="159">
        <v>953250</v>
      </c>
      <c r="U262" s="120">
        <f>P262</f>
        <v>423142.60596407746</v>
      </c>
      <c r="V262" s="118">
        <f t="shared" si="36"/>
        <v>-9120127.209220171</v>
      </c>
      <c r="W262" s="118">
        <f t="shared" si="36"/>
        <v>-530107.3940359226</v>
      </c>
      <c r="X262" s="121">
        <f t="shared" si="29"/>
        <v>-9120127.209220171</v>
      </c>
      <c r="Y262" s="121">
        <f t="shared" si="29"/>
        <v>-530107.3940359226</v>
      </c>
      <c r="Z262" s="121"/>
      <c r="AA262" s="121"/>
      <c r="AB262" s="121">
        <f>Y262-Z262-AA262</f>
        <v>-530107.3940359226</v>
      </c>
      <c r="AC262" s="122">
        <v>0</v>
      </c>
      <c r="AD262" s="122">
        <f>Y262/J262/K262/10*M262</f>
        <v>-9120127.2092201728</v>
      </c>
      <c r="AE262" s="122"/>
      <c r="AF262" s="123"/>
      <c r="AG262" s="124">
        <f t="shared" si="28"/>
        <v>-530107.3940359226</v>
      </c>
      <c r="AH262" s="125">
        <f>AB262/J262/K262/8*M262</f>
        <v>-11400159.011525216</v>
      </c>
      <c r="AI262" s="126"/>
    </row>
    <row r="263" spans="1:35">
      <c r="A263" s="51"/>
      <c r="B263" s="35"/>
      <c r="C263" s="52"/>
      <c r="D263" s="35"/>
      <c r="E263" s="35"/>
      <c r="F263" s="35"/>
      <c r="G263" s="35"/>
      <c r="H263" s="35"/>
      <c r="I263" s="53">
        <f>SUM(I11:I262)</f>
        <v>3882200000</v>
      </c>
      <c r="J263" s="54"/>
      <c r="K263" s="54"/>
      <c r="L263" s="54"/>
      <c r="M263" s="54"/>
      <c r="N263" s="53">
        <f>SUM(N11:N262)</f>
        <v>158019206.25</v>
      </c>
      <c r="O263" s="54">
        <f>SUM(O11:O262)</f>
        <v>2355160179.0304556</v>
      </c>
      <c r="P263" s="54">
        <f t="shared" ref="P263:AI263" si="37">SUM(P11:P262)</f>
        <v>95863310.000000089</v>
      </c>
      <c r="Q263" s="54">
        <f t="shared" si="37"/>
        <v>62155896.24999994</v>
      </c>
      <c r="R263" s="55" t="s">
        <v>37</v>
      </c>
      <c r="S263" s="54">
        <f t="shared" si="37"/>
        <v>643240000</v>
      </c>
      <c r="T263" s="54">
        <f t="shared" si="37"/>
        <v>37351540</v>
      </c>
      <c r="U263" s="54">
        <f>SUM(U11:U262)</f>
        <v>24052130.958489083</v>
      </c>
      <c r="V263" s="53">
        <f t="shared" si="37"/>
        <v>1711920179.0304534</v>
      </c>
      <c r="W263" s="54">
        <f t="shared" si="37"/>
        <v>58511770.000000045</v>
      </c>
      <c r="X263" s="54">
        <f t="shared" si="37"/>
        <v>1711920179.0304534</v>
      </c>
      <c r="Y263" s="54">
        <f t="shared" si="37"/>
        <v>58511770.00000006</v>
      </c>
      <c r="Z263" s="54">
        <f t="shared" si="37"/>
        <v>34466565.230000004</v>
      </c>
      <c r="AA263" s="54">
        <f t="shared" si="37"/>
        <v>4112188.71</v>
      </c>
      <c r="AB263" s="54">
        <f t="shared" si="37"/>
        <v>13495624.849021913</v>
      </c>
      <c r="AC263" s="54">
        <f t="shared" si="37"/>
        <v>321216518.41163057</v>
      </c>
      <c r="AD263" s="54">
        <f t="shared" si="37"/>
        <v>258994228.69152683</v>
      </c>
      <c r="AE263" s="54">
        <f t="shared" si="37"/>
        <v>675218.13</v>
      </c>
      <c r="AF263" s="54">
        <f t="shared" si="37"/>
        <v>-3889576.1400000006</v>
      </c>
      <c r="AG263" s="54">
        <f t="shared" si="37"/>
        <v>9606048.7090219036</v>
      </c>
      <c r="AH263" s="54">
        <f t="shared" si="37"/>
        <v>290228491.37681496</v>
      </c>
      <c r="AI263" s="56">
        <f t="shared" si="37"/>
        <v>14520820</v>
      </c>
    </row>
    <row r="264" spans="1:35">
      <c r="X264" s="59"/>
      <c r="Y264" s="59"/>
      <c r="Z264" s="59"/>
      <c r="AA264" s="59"/>
      <c r="AB264" s="59"/>
      <c r="AC264" s="59"/>
    </row>
  </sheetData>
  <mergeCells count="23">
    <mergeCell ref="A1:AD1"/>
    <mergeCell ref="X3:AD3"/>
    <mergeCell ref="A7:A8"/>
    <mergeCell ref="B7:B8"/>
    <mergeCell ref="C7:C8"/>
    <mergeCell ref="D7:D8"/>
    <mergeCell ref="E7:E8"/>
    <mergeCell ref="F7:F8"/>
    <mergeCell ref="G7:G8"/>
    <mergeCell ref="H7:H8"/>
    <mergeCell ref="AH7:AH8"/>
    <mergeCell ref="R7:R8"/>
    <mergeCell ref="I7:I8"/>
    <mergeCell ref="N7:N8"/>
    <mergeCell ref="P7:P8"/>
    <mergeCell ref="Q7:Q8"/>
    <mergeCell ref="V7:V8"/>
    <mergeCell ref="W7:W8"/>
    <mergeCell ref="A2:AB2"/>
    <mergeCell ref="X7:X8"/>
    <mergeCell ref="Y7:Y8"/>
    <mergeCell ref="AC7:AC8"/>
    <mergeCell ref="AD7:AD8"/>
  </mergeCells>
  <dataValidations count="1">
    <dataValidation type="list" allowBlank="1" showInputMessage="1" showErrorMessage="1" sqref="F17:G21 E30 E24:E25 E22 E12:E18 F11:G15 D11:D15 D17:D21">
      <formula1>Организации</formula1>
    </dataValidation>
  </dataValidations>
  <pageMargins left="0.51181102362204722" right="0.11811023622047245" top="0.74803149606299213" bottom="0.35433070866141736" header="0.31496062992125984" footer="0.31496062992125984"/>
  <pageSetup paperSize="9" scale="6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Ю. Созинова</dc:creator>
  <cp:lastModifiedBy>Надежда Ю. Созинова</cp:lastModifiedBy>
  <cp:lastPrinted>2019-04-08T09:43:24Z</cp:lastPrinted>
  <dcterms:created xsi:type="dcterms:W3CDTF">2019-04-08T09:18:13Z</dcterms:created>
  <dcterms:modified xsi:type="dcterms:W3CDTF">2019-04-08T11:34:42Z</dcterms:modified>
</cp:coreProperties>
</file>